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bat.sharepoint.com/sites/CN16-Chris/Shared Documents/General/Spend tracker/Wellmei/"/>
    </mc:Choice>
  </mc:AlternateContent>
  <xr:revisionPtr revIDLastSave="3071" documentId="11_0BE8D6AA1995AA6303A9FE7F9F250D61EAB270E2" xr6:coauthVersionLast="47" xr6:coauthVersionMax="47" xr10:uidLastSave="{45796504-556D-42FA-92BA-004A7F9EA080}"/>
  <bookViews>
    <workbookView xWindow="-110" yWindow="-110" windowWidth="51420" windowHeight="21100" firstSheet="1" activeTab="3" xr2:uid="{00000000-000D-0000-FFFF-FFFF00000000}"/>
  </bookViews>
  <sheets>
    <sheet name="Sheet2" sheetId="5" r:id="rId1"/>
    <sheet name="Spend Track (part)" sheetId="1" r:id="rId2"/>
    <sheet name="Detail1" sheetId="7" r:id="rId3"/>
    <sheet name="Sheet3" sheetId="6" r:id="rId4"/>
    <sheet name="Capex tracker" sheetId="2" r:id="rId5"/>
    <sheet name="Capex summary Dec 2024" sheetId="4" state="hidden" r:id="rId6"/>
    <sheet name="Sheet1" sheetId="3" state="hidden" r:id="rId7"/>
  </sheets>
  <externalReferences>
    <externalReference r:id="rId8"/>
  </externalReferences>
  <definedNames>
    <definedName name="_xlnm._FilterDatabase" localSheetId="4" hidden="1">'Capex tracker'!$B$5:$W$167</definedName>
    <definedName name="_xlnm._FilterDatabase" localSheetId="1" hidden="1">'Spend Track (part)'!$A$3:$AF$441</definedName>
    <definedName name="shname">#REF!</definedName>
  </definedNames>
  <calcPr calcId="191028"/>
  <pivotCaches>
    <pivotCache cacheId="3194" r:id="rId9"/>
    <pivotCache cacheId="3195" r:id="rId10"/>
    <pivotCache cacheId="319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1" l="1"/>
  <c r="N106" i="1"/>
  <c r="AC106" i="1" s="1"/>
  <c r="N213" i="1"/>
  <c r="AC213" i="1" s="1"/>
  <c r="N197" i="1"/>
  <c r="AC197" i="1" s="1"/>
  <c r="N178" i="1"/>
  <c r="N161" i="1"/>
  <c r="AC161" i="1" s="1"/>
  <c r="N160" i="1"/>
  <c r="AC160" i="1" s="1"/>
  <c r="N159" i="1"/>
  <c r="AC159" i="1" s="1"/>
  <c r="N158" i="1"/>
  <c r="AC158" i="1" s="1"/>
  <c r="N93" i="1"/>
  <c r="AC93" i="1" s="1"/>
  <c r="N78" i="1"/>
  <c r="AC78" i="1" s="1"/>
  <c r="N58" i="1"/>
  <c r="AC58" i="1" s="1"/>
  <c r="N57" i="1"/>
  <c r="AC57" i="1" s="1"/>
  <c r="N56" i="1"/>
  <c r="AC56" i="1" s="1"/>
  <c r="N55" i="1"/>
  <c r="AC55" i="1" s="1"/>
  <c r="N54" i="1"/>
  <c r="AC54" i="1" s="1"/>
  <c r="N34" i="1"/>
  <c r="AC34" i="1" s="1"/>
  <c r="N33" i="1"/>
  <c r="AC33" i="1" s="1"/>
  <c r="N32" i="1"/>
  <c r="AC32" i="1" s="1"/>
  <c r="N31" i="1"/>
  <c r="AC31" i="1" s="1"/>
  <c r="N30" i="1"/>
  <c r="AC30" i="1" s="1"/>
  <c r="N29" i="1"/>
  <c r="AC29" i="1" s="1"/>
  <c r="N28" i="1"/>
  <c r="AC28" i="1" s="1"/>
  <c r="N27" i="1"/>
  <c r="AC27" i="1" s="1"/>
  <c r="N26" i="1"/>
  <c r="AC26" i="1" s="1"/>
  <c r="N25" i="1"/>
  <c r="N24" i="1"/>
  <c r="AC24" i="1" s="1"/>
  <c r="N23" i="1"/>
  <c r="AC23" i="1" s="1"/>
  <c r="AE358" i="1"/>
  <c r="AC358" i="1"/>
  <c r="V358" i="1"/>
  <c r="U358" i="1"/>
  <c r="O358" i="1"/>
  <c r="N358" i="1"/>
  <c r="M358" i="1"/>
  <c r="R358" i="1" s="1"/>
  <c r="AE332" i="1"/>
  <c r="V332" i="1"/>
  <c r="U332" i="1"/>
  <c r="O332" i="1"/>
  <c r="N332" i="1"/>
  <c r="AC332" i="1" s="1"/>
  <c r="M332" i="1"/>
  <c r="R332" i="1" s="1"/>
  <c r="AE306" i="1"/>
  <c r="V306" i="1"/>
  <c r="U306" i="1"/>
  <c r="O306" i="1"/>
  <c r="N306" i="1"/>
  <c r="AC306" i="1" s="1"/>
  <c r="M306" i="1"/>
  <c r="R306" i="1" s="1"/>
  <c r="AE280" i="1"/>
  <c r="V280" i="1"/>
  <c r="U280" i="1"/>
  <c r="O280" i="1"/>
  <c r="N280" i="1"/>
  <c r="AC280" i="1" s="1"/>
  <c r="M280" i="1"/>
  <c r="R280" i="1" s="1"/>
  <c r="AE255" i="1"/>
  <c r="AD255" i="1"/>
  <c r="M255" i="1"/>
  <c r="AE229" i="1"/>
  <c r="AD229" i="1"/>
  <c r="M229" i="1"/>
  <c r="AE213" i="1"/>
  <c r="R213" i="1"/>
  <c r="AE197" i="1"/>
  <c r="R197" i="1"/>
  <c r="AE180" i="1"/>
  <c r="AE179" i="1"/>
  <c r="AE178" i="1"/>
  <c r="R180" i="1"/>
  <c r="R179" i="1"/>
  <c r="R178" i="1"/>
  <c r="N180" i="1"/>
  <c r="AC180" i="1" s="1"/>
  <c r="N179" i="1"/>
  <c r="AC179" i="1" s="1"/>
  <c r="AC178" i="1"/>
  <c r="AE161" i="1"/>
  <c r="AE160" i="1"/>
  <c r="AE159" i="1"/>
  <c r="AE158" i="1"/>
  <c r="R161" i="1"/>
  <c r="R160" i="1"/>
  <c r="R159" i="1"/>
  <c r="R158" i="1"/>
  <c r="V153" i="1"/>
  <c r="R153" i="1"/>
  <c r="C153" i="1"/>
  <c r="AE146" i="1"/>
  <c r="AC146" i="1"/>
  <c r="R146" i="1"/>
  <c r="AE139" i="1"/>
  <c r="AC139" i="1"/>
  <c r="R139" i="1"/>
  <c r="AE132" i="1"/>
  <c r="AC132" i="1"/>
  <c r="R132" i="1"/>
  <c r="AE120" i="1"/>
  <c r="AC120" i="1"/>
  <c r="R120" i="1"/>
  <c r="AE126" i="1"/>
  <c r="AC126" i="1"/>
  <c r="R126" i="1"/>
  <c r="C126" i="1"/>
  <c r="AE106" i="1"/>
  <c r="V106" i="1"/>
  <c r="R106" i="1"/>
  <c r="AE93" i="1"/>
  <c r="R93" i="1"/>
  <c r="AE78" i="1"/>
  <c r="R78" i="1"/>
  <c r="AE58" i="1"/>
  <c r="AE57" i="1"/>
  <c r="AE56" i="1"/>
  <c r="AE55" i="1"/>
  <c r="AE54" i="1"/>
  <c r="R58" i="1"/>
  <c r="R57" i="1"/>
  <c r="R56" i="1"/>
  <c r="R55" i="1"/>
  <c r="R54" i="1"/>
  <c r="AE34" i="1"/>
  <c r="AD34" i="1"/>
  <c r="AE33" i="1"/>
  <c r="AD33" i="1"/>
  <c r="AE32" i="1"/>
  <c r="AD32" i="1"/>
  <c r="AE31" i="1"/>
  <c r="AD31" i="1"/>
  <c r="AE30" i="1"/>
  <c r="AD30" i="1"/>
  <c r="AE29" i="1"/>
  <c r="AD29" i="1"/>
  <c r="R34" i="1"/>
  <c r="R33" i="1"/>
  <c r="R32" i="1"/>
  <c r="R31" i="1"/>
  <c r="R30" i="1"/>
  <c r="R29" i="1"/>
  <c r="AE28" i="1"/>
  <c r="AD28" i="1"/>
  <c r="AE27" i="1"/>
  <c r="AD27" i="1"/>
  <c r="AE26" i="1"/>
  <c r="AD26" i="1"/>
  <c r="AE25" i="1"/>
  <c r="AD25" i="1"/>
  <c r="AC25" i="1"/>
  <c r="AE24" i="1"/>
  <c r="AD24" i="1"/>
  <c r="AE23" i="1"/>
  <c r="AD23" i="1"/>
  <c r="R28" i="1"/>
  <c r="R27" i="1"/>
  <c r="R26" i="1"/>
  <c r="R25" i="1"/>
  <c r="R24" i="1"/>
  <c r="R23" i="1"/>
  <c r="AE359" i="1"/>
  <c r="V359" i="1"/>
  <c r="U359" i="1"/>
  <c r="O359" i="1"/>
  <c r="N359" i="1"/>
  <c r="AC359" i="1" s="1"/>
  <c r="M359" i="1"/>
  <c r="R359" i="1" s="1"/>
  <c r="AE333" i="1"/>
  <c r="U333" i="1"/>
  <c r="V333" i="1"/>
  <c r="O333" i="1"/>
  <c r="N333" i="1"/>
  <c r="AC333" i="1" s="1"/>
  <c r="M333" i="1"/>
  <c r="R333" i="1" s="1"/>
  <c r="AE307" i="1"/>
  <c r="V307" i="1"/>
  <c r="U307" i="1"/>
  <c r="O307" i="1"/>
  <c r="N307" i="1"/>
  <c r="AC307" i="1" s="1"/>
  <c r="M307" i="1"/>
  <c r="R307" i="1" s="1"/>
  <c r="AE281" i="1"/>
  <c r="V281" i="1"/>
  <c r="U281" i="1"/>
  <c r="O281" i="1"/>
  <c r="N281" i="1"/>
  <c r="AC281" i="1" s="1"/>
  <c r="M281" i="1"/>
  <c r="R281" i="1" s="1"/>
  <c r="AE256" i="1"/>
  <c r="AD256" i="1"/>
  <c r="M256" i="1"/>
  <c r="AE230" i="1"/>
  <c r="AD230" i="1"/>
  <c r="M230" i="1"/>
  <c r="AE214" i="1"/>
  <c r="AC214" i="1"/>
  <c r="R214" i="1"/>
  <c r="AE198" i="1"/>
  <c r="AC198" i="1"/>
  <c r="R198" i="1"/>
  <c r="AE182" i="1"/>
  <c r="AE181" i="1"/>
  <c r="R182" i="1"/>
  <c r="N182" i="1"/>
  <c r="AC182" i="1" s="1"/>
  <c r="R181" i="1"/>
  <c r="N181" i="1"/>
  <c r="AC181" i="1" s="1"/>
  <c r="AE163" i="1"/>
  <c r="AE162" i="1"/>
  <c r="R163" i="1"/>
  <c r="N163" i="1"/>
  <c r="AC163" i="1" s="1"/>
  <c r="R162" i="1"/>
  <c r="N162" i="1"/>
  <c r="AC162" i="1" s="1"/>
  <c r="V154" i="1"/>
  <c r="R154" i="1"/>
  <c r="C154" i="1"/>
  <c r="AE147" i="1"/>
  <c r="AC147" i="1"/>
  <c r="R147" i="1"/>
  <c r="AE140" i="1"/>
  <c r="AC140" i="1"/>
  <c r="R140" i="1"/>
  <c r="AE133" i="1"/>
  <c r="AC133" i="1"/>
  <c r="R133" i="1"/>
  <c r="AE127" i="1"/>
  <c r="AC127" i="1"/>
  <c r="R127" i="1"/>
  <c r="C127" i="1"/>
  <c r="AE121" i="1"/>
  <c r="AC121" i="1"/>
  <c r="R121" i="1"/>
  <c r="AE107" i="1"/>
  <c r="AC107" i="1"/>
  <c r="R109" i="1"/>
  <c r="R108" i="1"/>
  <c r="R107" i="1"/>
  <c r="AE64" i="1"/>
  <c r="AC64" i="1"/>
  <c r="AE63" i="1"/>
  <c r="AC63" i="1"/>
  <c r="AE62" i="1"/>
  <c r="AC62" i="1"/>
  <c r="AE61" i="1"/>
  <c r="AC61" i="1"/>
  <c r="AE60" i="1"/>
  <c r="AC60" i="1"/>
  <c r="AE59" i="1"/>
  <c r="AC59" i="1"/>
  <c r="R64" i="1"/>
  <c r="R63" i="1"/>
  <c r="R62" i="1"/>
  <c r="R61" i="1"/>
  <c r="R60" i="1"/>
  <c r="R59" i="1"/>
  <c r="AE40" i="1"/>
  <c r="AD40" i="1"/>
  <c r="AC40" i="1"/>
  <c r="AE39" i="1"/>
  <c r="AD39" i="1"/>
  <c r="AC39" i="1"/>
  <c r="AE38" i="1"/>
  <c r="AD38" i="1"/>
  <c r="AC38" i="1"/>
  <c r="AE37" i="1"/>
  <c r="AD37" i="1"/>
  <c r="AC37" i="1"/>
  <c r="AE36" i="1"/>
  <c r="AD36" i="1"/>
  <c r="AC36" i="1"/>
  <c r="AE35" i="1"/>
  <c r="AD35" i="1"/>
  <c r="AC35" i="1"/>
  <c r="R40" i="1"/>
  <c r="R39" i="1"/>
  <c r="R38" i="1"/>
  <c r="R37" i="1"/>
  <c r="R36" i="1"/>
  <c r="R35" i="1"/>
  <c r="AE22" i="1"/>
  <c r="AD22" i="1"/>
  <c r="AC22" i="1"/>
  <c r="AE21" i="1"/>
  <c r="AD21" i="1"/>
  <c r="AC21" i="1"/>
  <c r="AE20" i="1"/>
  <c r="AD20" i="1"/>
  <c r="AC20" i="1"/>
  <c r="AE19" i="1"/>
  <c r="AD19" i="1"/>
  <c r="AC19" i="1"/>
  <c r="AE18" i="1"/>
  <c r="AD18" i="1"/>
  <c r="AC18" i="1"/>
  <c r="AE94" i="1"/>
  <c r="AC94" i="1"/>
  <c r="R94" i="1"/>
  <c r="AE79" i="1"/>
  <c r="AC79" i="1"/>
  <c r="R79" i="1"/>
  <c r="R22" i="1"/>
  <c r="R21" i="1"/>
  <c r="R20" i="1"/>
  <c r="R19" i="1"/>
  <c r="R18" i="1"/>
  <c r="AC17" i="1"/>
  <c r="AD17" i="1"/>
  <c r="AE17" i="1"/>
  <c r="R17" i="1"/>
  <c r="S146" i="2"/>
  <c r="Q146" i="2"/>
  <c r="V334" i="1"/>
  <c r="V360" i="1"/>
  <c r="AE360" i="1"/>
  <c r="U360" i="1"/>
  <c r="O360" i="1"/>
  <c r="N360" i="1"/>
  <c r="AC360" i="1" s="1"/>
  <c r="M360" i="1"/>
  <c r="R360" i="1" s="1"/>
  <c r="AE334" i="1"/>
  <c r="U334" i="1"/>
  <c r="O334" i="1"/>
  <c r="N334" i="1"/>
  <c r="AC334" i="1" s="1"/>
  <c r="M334" i="1"/>
  <c r="R334" i="1" s="1"/>
  <c r="V308" i="1"/>
  <c r="AE308" i="1"/>
  <c r="U308" i="1"/>
  <c r="O308" i="1"/>
  <c r="N308" i="1"/>
  <c r="AC308" i="1" s="1"/>
  <c r="M308" i="1"/>
  <c r="R308" i="1" s="1"/>
  <c r="V282" i="1"/>
  <c r="AE282" i="1"/>
  <c r="U282" i="1"/>
  <c r="O282" i="1"/>
  <c r="N282" i="1"/>
  <c r="AC282" i="1" s="1"/>
  <c r="M282" i="1"/>
  <c r="R282" i="1" s="1"/>
  <c r="AE257" i="1"/>
  <c r="AD257" i="1"/>
  <c r="M257" i="1"/>
  <c r="AE231" i="1"/>
  <c r="AD231" i="1"/>
  <c r="M231" i="1"/>
  <c r="AE215" i="1"/>
  <c r="AC215" i="1"/>
  <c r="R215" i="1"/>
  <c r="AE199" i="1"/>
  <c r="AC199" i="1"/>
  <c r="R199" i="1"/>
  <c r="AE183" i="1"/>
  <c r="R183" i="1"/>
  <c r="N183" i="1"/>
  <c r="AC183" i="1" s="1"/>
  <c r="AE164" i="1"/>
  <c r="R164" i="1"/>
  <c r="N164" i="1"/>
  <c r="AC164" i="1" s="1"/>
  <c r="V155" i="1"/>
  <c r="R155" i="1"/>
  <c r="C155" i="1"/>
  <c r="AE148" i="1"/>
  <c r="AC148" i="1"/>
  <c r="R148" i="1"/>
  <c r="AE141" i="1"/>
  <c r="AC141" i="1"/>
  <c r="R141" i="1"/>
  <c r="AE134" i="1"/>
  <c r="AC134" i="1"/>
  <c r="R134" i="1"/>
  <c r="AE128" i="1"/>
  <c r="AC128" i="1"/>
  <c r="AE122" i="1"/>
  <c r="AC122" i="1"/>
  <c r="R122" i="1"/>
  <c r="R128" i="1"/>
  <c r="C128" i="1"/>
  <c r="AE110" i="1"/>
  <c r="AC110" i="1"/>
  <c r="R110" i="1"/>
  <c r="AE95" i="1"/>
  <c r="AC95" i="1"/>
  <c r="R95" i="1"/>
  <c r="AE80" i="1"/>
  <c r="AC80" i="1"/>
  <c r="R80" i="1"/>
  <c r="AE65" i="1"/>
  <c r="AC65" i="1"/>
  <c r="R65" i="1"/>
  <c r="AE41" i="1"/>
  <c r="AD41" i="1"/>
  <c r="AC41" i="1"/>
  <c r="R41" i="1"/>
  <c r="AE16" i="1"/>
  <c r="AC16" i="1"/>
  <c r="AD16" i="1"/>
  <c r="R16" i="1"/>
  <c r="N177" i="1"/>
  <c r="AC177" i="1" s="1"/>
  <c r="N196" i="1"/>
  <c r="N195" i="1"/>
  <c r="N194" i="1"/>
  <c r="AC194" i="1" s="1"/>
  <c r="N193" i="1"/>
  <c r="N192" i="1"/>
  <c r="N191" i="1"/>
  <c r="N190" i="1"/>
  <c r="N189" i="1"/>
  <c r="N188" i="1"/>
  <c r="N187" i="1"/>
  <c r="N186" i="1"/>
  <c r="AC186" i="1" s="1"/>
  <c r="N185" i="1"/>
  <c r="AC185" i="1" s="1"/>
  <c r="N184" i="1"/>
  <c r="AC184" i="1" s="1"/>
  <c r="N176" i="1"/>
  <c r="N175" i="1"/>
  <c r="AC175" i="1" s="1"/>
  <c r="N174" i="1"/>
  <c r="N173" i="1"/>
  <c r="N172" i="1"/>
  <c r="N171" i="1"/>
  <c r="N170" i="1"/>
  <c r="N169" i="1"/>
  <c r="N168" i="1"/>
  <c r="N167" i="1"/>
  <c r="AC167" i="1" s="1"/>
  <c r="N166" i="1"/>
  <c r="AC166" i="1" s="1"/>
  <c r="N165" i="1"/>
  <c r="AC165" i="1" s="1"/>
  <c r="R5" i="1"/>
  <c r="R6" i="1"/>
  <c r="R7" i="1"/>
  <c r="R8" i="1"/>
  <c r="R9" i="1"/>
  <c r="R10" i="1"/>
  <c r="R11" i="1"/>
  <c r="R12" i="1"/>
  <c r="R13" i="1"/>
  <c r="R14" i="1"/>
  <c r="R15" i="1"/>
  <c r="R42" i="1"/>
  <c r="R43" i="1"/>
  <c r="R44" i="1"/>
  <c r="R45" i="1"/>
  <c r="R46" i="1"/>
  <c r="R47" i="1"/>
  <c r="R48" i="1"/>
  <c r="R49" i="1"/>
  <c r="R50" i="1"/>
  <c r="R51" i="1"/>
  <c r="R52" i="1"/>
  <c r="R53" i="1"/>
  <c r="R66" i="1"/>
  <c r="R67" i="1"/>
  <c r="R68" i="1"/>
  <c r="R69" i="1"/>
  <c r="R70" i="1"/>
  <c r="R71" i="1"/>
  <c r="R72" i="1"/>
  <c r="R73" i="1"/>
  <c r="R74" i="1"/>
  <c r="R75" i="1"/>
  <c r="R76" i="1"/>
  <c r="R77" i="1"/>
  <c r="R81" i="1"/>
  <c r="R82" i="1"/>
  <c r="R83" i="1"/>
  <c r="R84" i="1"/>
  <c r="R85" i="1"/>
  <c r="R86" i="1"/>
  <c r="R87" i="1"/>
  <c r="R88" i="1"/>
  <c r="R89" i="1"/>
  <c r="R90" i="1"/>
  <c r="R91" i="1"/>
  <c r="R92" i="1"/>
  <c r="R96" i="1"/>
  <c r="R97" i="1"/>
  <c r="R98" i="1"/>
  <c r="R99" i="1"/>
  <c r="R100" i="1"/>
  <c r="R101" i="1"/>
  <c r="R102" i="1"/>
  <c r="R103" i="1"/>
  <c r="R104" i="1"/>
  <c r="R105" i="1"/>
  <c r="R111" i="1"/>
  <c r="R112" i="1"/>
  <c r="R113" i="1"/>
  <c r="R114" i="1"/>
  <c r="R115" i="1"/>
  <c r="R116" i="1"/>
  <c r="R117" i="1"/>
  <c r="R118" i="1"/>
  <c r="R119" i="1"/>
  <c r="R123" i="1"/>
  <c r="R124" i="1"/>
  <c r="R125" i="1"/>
  <c r="R129" i="1"/>
  <c r="R130" i="1"/>
  <c r="R131" i="1"/>
  <c r="R135" i="1"/>
  <c r="R136" i="1"/>
  <c r="R137" i="1"/>
  <c r="R138" i="1"/>
  <c r="R142" i="1"/>
  <c r="R143" i="1"/>
  <c r="R144" i="1"/>
  <c r="R145" i="1"/>
  <c r="R149" i="1"/>
  <c r="R150" i="1"/>
  <c r="R151" i="1"/>
  <c r="R152" i="1"/>
  <c r="R156" i="1"/>
  <c r="R157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M232" i="1"/>
  <c r="R232" i="1" s="1"/>
  <c r="M233" i="1"/>
  <c r="R233" i="1" s="1"/>
  <c r="M234" i="1"/>
  <c r="R234" i="1" s="1"/>
  <c r="M235" i="1"/>
  <c r="N235" i="1" s="1"/>
  <c r="AC235" i="1" s="1"/>
  <c r="M236" i="1"/>
  <c r="N236" i="1" s="1"/>
  <c r="AC236" i="1" s="1"/>
  <c r="M237" i="1"/>
  <c r="R237" i="1" s="1"/>
  <c r="M238" i="1"/>
  <c r="R238" i="1" s="1"/>
  <c r="M239" i="1"/>
  <c r="N239" i="1" s="1"/>
  <c r="AC239" i="1" s="1"/>
  <c r="M240" i="1"/>
  <c r="R240" i="1" s="1"/>
  <c r="M241" i="1"/>
  <c r="N241" i="1" s="1"/>
  <c r="AC241" i="1" s="1"/>
  <c r="M242" i="1"/>
  <c r="N242" i="1" s="1"/>
  <c r="AC242" i="1" s="1"/>
  <c r="M243" i="1"/>
  <c r="N243" i="1" s="1"/>
  <c r="AC243" i="1" s="1"/>
  <c r="M244" i="1"/>
  <c r="N244" i="1" s="1"/>
  <c r="AC244" i="1" s="1"/>
  <c r="M245" i="1"/>
  <c r="R245" i="1" s="1"/>
  <c r="M246" i="1"/>
  <c r="R246" i="1" s="1"/>
  <c r="M247" i="1"/>
  <c r="R247" i="1" s="1"/>
  <c r="M248" i="1"/>
  <c r="N248" i="1" s="1"/>
  <c r="AC248" i="1" s="1"/>
  <c r="M249" i="1"/>
  <c r="R249" i="1" s="1"/>
  <c r="M250" i="1"/>
  <c r="R250" i="1" s="1"/>
  <c r="M251" i="1"/>
  <c r="R251" i="1" s="1"/>
  <c r="M252" i="1"/>
  <c r="R252" i="1" s="1"/>
  <c r="M253" i="1"/>
  <c r="R253" i="1" s="1"/>
  <c r="M254" i="1"/>
  <c r="N254" i="1" s="1"/>
  <c r="AC254" i="1" s="1"/>
  <c r="M258" i="1"/>
  <c r="N258" i="1" s="1"/>
  <c r="AC258" i="1" s="1"/>
  <c r="M259" i="1"/>
  <c r="R259" i="1" s="1"/>
  <c r="M260" i="1"/>
  <c r="R260" i="1" s="1"/>
  <c r="M261" i="1"/>
  <c r="R261" i="1" s="1"/>
  <c r="M262" i="1"/>
  <c r="N262" i="1" s="1"/>
  <c r="AC262" i="1" s="1"/>
  <c r="M263" i="1"/>
  <c r="N263" i="1" s="1"/>
  <c r="AC263" i="1" s="1"/>
  <c r="M264" i="1"/>
  <c r="R264" i="1" s="1"/>
  <c r="M265" i="1"/>
  <c r="R265" i="1" s="1"/>
  <c r="M266" i="1"/>
  <c r="R266" i="1" s="1"/>
  <c r="M267" i="1"/>
  <c r="R267" i="1" s="1"/>
  <c r="M268" i="1"/>
  <c r="R268" i="1" s="1"/>
  <c r="M269" i="1"/>
  <c r="N269" i="1" s="1"/>
  <c r="AC269" i="1" s="1"/>
  <c r="M270" i="1"/>
  <c r="N270" i="1" s="1"/>
  <c r="AC270" i="1" s="1"/>
  <c r="M271" i="1"/>
  <c r="R271" i="1" s="1"/>
  <c r="M272" i="1"/>
  <c r="R272" i="1" s="1"/>
  <c r="M273" i="1"/>
  <c r="R273" i="1" s="1"/>
  <c r="M274" i="1"/>
  <c r="N274" i="1" s="1"/>
  <c r="AC274" i="1" s="1"/>
  <c r="M275" i="1"/>
  <c r="N275" i="1" s="1"/>
  <c r="AC275" i="1" s="1"/>
  <c r="M276" i="1"/>
  <c r="R276" i="1" s="1"/>
  <c r="M277" i="1"/>
  <c r="R277" i="1" s="1"/>
  <c r="M278" i="1"/>
  <c r="R278" i="1" s="1"/>
  <c r="M279" i="1"/>
  <c r="R279" i="1" s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" i="1"/>
  <c r="AE96" i="1"/>
  <c r="AC96" i="1"/>
  <c r="T97" i="1"/>
  <c r="T96" i="1" s="1"/>
  <c r="AE258" i="1"/>
  <c r="AD258" i="1"/>
  <c r="AE232" i="1"/>
  <c r="AD232" i="1"/>
  <c r="AE216" i="1"/>
  <c r="AC216" i="1"/>
  <c r="AE200" i="1"/>
  <c r="AC200" i="1"/>
  <c r="AE184" i="1"/>
  <c r="AE165" i="1"/>
  <c r="V156" i="1"/>
  <c r="P156" i="1"/>
  <c r="C156" i="1"/>
  <c r="AE149" i="1"/>
  <c r="AC149" i="1"/>
  <c r="AE142" i="1"/>
  <c r="AC142" i="1"/>
  <c r="AE135" i="1"/>
  <c r="AC135" i="1"/>
  <c r="AE129" i="1"/>
  <c r="AC129" i="1"/>
  <c r="T129" i="1"/>
  <c r="C129" i="1"/>
  <c r="AE123" i="1"/>
  <c r="AC123" i="1"/>
  <c r="AE111" i="1"/>
  <c r="AC111" i="1"/>
  <c r="AE81" i="1"/>
  <c r="AC81" i="1"/>
  <c r="AE66" i="1"/>
  <c r="AC66" i="1"/>
  <c r="AE42" i="1"/>
  <c r="AD42" i="1"/>
  <c r="AC42" i="1"/>
  <c r="AE15" i="1"/>
  <c r="AD15" i="1"/>
  <c r="AC15" i="1"/>
  <c r="AE361" i="1"/>
  <c r="V361" i="1"/>
  <c r="U361" i="1"/>
  <c r="O361" i="1"/>
  <c r="N361" i="1"/>
  <c r="AC361" i="1"/>
  <c r="M361" i="1"/>
  <c r="R361" i="1" s="1"/>
  <c r="AE335" i="1"/>
  <c r="V335" i="1"/>
  <c r="U335" i="1"/>
  <c r="O335" i="1"/>
  <c r="N335" i="1"/>
  <c r="AC335" i="1" s="1"/>
  <c r="M335" i="1"/>
  <c r="R335" i="1" s="1"/>
  <c r="AE309" i="1"/>
  <c r="V309" i="1"/>
  <c r="O283" i="1"/>
  <c r="N283" i="1"/>
  <c r="AC283" i="1" s="1"/>
  <c r="M283" i="1"/>
  <c r="R283" i="1" s="1"/>
  <c r="U309" i="1"/>
  <c r="O309" i="1"/>
  <c r="N309" i="1"/>
  <c r="AC309" i="1" s="1"/>
  <c r="M309" i="1"/>
  <c r="R309" i="1" s="1"/>
  <c r="AE283" i="1"/>
  <c r="V283" i="1"/>
  <c r="U283" i="1"/>
  <c r="AD5" i="1"/>
  <c r="AD6" i="1"/>
  <c r="AD7" i="1"/>
  <c r="AD8" i="1"/>
  <c r="AD9" i="1"/>
  <c r="AD10" i="1"/>
  <c r="AD11" i="1"/>
  <c r="AD12" i="1"/>
  <c r="AD13" i="1"/>
  <c r="AD14" i="1"/>
  <c r="AD43" i="1"/>
  <c r="AD44" i="1"/>
  <c r="AD45" i="1"/>
  <c r="AD46" i="1"/>
  <c r="AD47" i="1"/>
  <c r="AD48" i="1"/>
  <c r="AD49" i="1"/>
  <c r="AD50" i="1"/>
  <c r="AD51" i="1"/>
  <c r="AD52" i="1"/>
  <c r="AD53" i="1"/>
  <c r="AD4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33" i="1"/>
  <c r="P7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V371" i="1"/>
  <c r="V370" i="1"/>
  <c r="V369" i="1"/>
  <c r="V368" i="1"/>
  <c r="V367" i="1"/>
  <c r="V366" i="1"/>
  <c r="V365" i="1"/>
  <c r="V364" i="1"/>
  <c r="V363" i="1"/>
  <c r="V362" i="1"/>
  <c r="V345" i="1"/>
  <c r="V344" i="1"/>
  <c r="V343" i="1"/>
  <c r="V342" i="1"/>
  <c r="V341" i="1"/>
  <c r="V340" i="1"/>
  <c r="V339" i="1"/>
  <c r="V338" i="1"/>
  <c r="V337" i="1"/>
  <c r="V336" i="1"/>
  <c r="V319" i="1"/>
  <c r="V318" i="1"/>
  <c r="V317" i="1"/>
  <c r="V316" i="1"/>
  <c r="V315" i="1"/>
  <c r="V314" i="1"/>
  <c r="V313" i="1"/>
  <c r="V312" i="1"/>
  <c r="V311" i="1"/>
  <c r="V310" i="1"/>
  <c r="V293" i="1"/>
  <c r="V292" i="1"/>
  <c r="V291" i="1"/>
  <c r="V290" i="1"/>
  <c r="V289" i="1"/>
  <c r="V288" i="1"/>
  <c r="V287" i="1"/>
  <c r="V286" i="1"/>
  <c r="V284" i="1"/>
  <c r="V285" i="1"/>
  <c r="U387" i="1"/>
  <c r="U386" i="1"/>
  <c r="U385" i="1"/>
  <c r="U384" i="1"/>
  <c r="U371" i="1"/>
  <c r="U370" i="1"/>
  <c r="U369" i="1"/>
  <c r="U368" i="1"/>
  <c r="U367" i="1"/>
  <c r="U366" i="1"/>
  <c r="U365" i="1"/>
  <c r="U364" i="1"/>
  <c r="U363" i="1"/>
  <c r="U362" i="1"/>
  <c r="U345" i="1"/>
  <c r="U344" i="1"/>
  <c r="U343" i="1"/>
  <c r="U342" i="1"/>
  <c r="U341" i="1"/>
  <c r="U340" i="1"/>
  <c r="U339" i="1"/>
  <c r="U338" i="1"/>
  <c r="U337" i="1"/>
  <c r="U336" i="1"/>
  <c r="U319" i="1"/>
  <c r="U318" i="1"/>
  <c r="U317" i="1"/>
  <c r="U316" i="1"/>
  <c r="U315" i="1"/>
  <c r="U314" i="1"/>
  <c r="U313" i="1"/>
  <c r="U312" i="1"/>
  <c r="U311" i="1"/>
  <c r="U310" i="1"/>
  <c r="U293" i="1"/>
  <c r="U292" i="1"/>
  <c r="U291" i="1"/>
  <c r="U290" i="1"/>
  <c r="U289" i="1"/>
  <c r="U288" i="1"/>
  <c r="U287" i="1"/>
  <c r="U286" i="1"/>
  <c r="U285" i="1"/>
  <c r="U284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4" i="1"/>
  <c r="N285" i="1"/>
  <c r="M387" i="1"/>
  <c r="R387" i="1" s="1"/>
  <c r="M386" i="1"/>
  <c r="R386" i="1" s="1"/>
  <c r="M385" i="1"/>
  <c r="R385" i="1" s="1"/>
  <c r="M384" i="1"/>
  <c r="R384" i="1" s="1"/>
  <c r="M383" i="1"/>
  <c r="R383" i="1" s="1"/>
  <c r="M382" i="1"/>
  <c r="R382" i="1" s="1"/>
  <c r="M381" i="1"/>
  <c r="R381" i="1" s="1"/>
  <c r="M380" i="1"/>
  <c r="R380" i="1" s="1"/>
  <c r="M379" i="1"/>
  <c r="R379" i="1" s="1"/>
  <c r="M378" i="1"/>
  <c r="R378" i="1" s="1"/>
  <c r="M377" i="1"/>
  <c r="R377" i="1" s="1"/>
  <c r="M376" i="1"/>
  <c r="R376" i="1" s="1"/>
  <c r="M375" i="1"/>
  <c r="R375" i="1" s="1"/>
  <c r="M374" i="1"/>
  <c r="R374" i="1" s="1"/>
  <c r="M373" i="1"/>
  <c r="R373" i="1" s="1"/>
  <c r="M372" i="1"/>
  <c r="R372" i="1" s="1"/>
  <c r="M371" i="1"/>
  <c r="R371" i="1" s="1"/>
  <c r="M370" i="1"/>
  <c r="R370" i="1" s="1"/>
  <c r="M369" i="1"/>
  <c r="R369" i="1" s="1"/>
  <c r="M368" i="1"/>
  <c r="R368" i="1" s="1"/>
  <c r="M367" i="1"/>
  <c r="R367" i="1" s="1"/>
  <c r="M366" i="1"/>
  <c r="R366" i="1" s="1"/>
  <c r="M365" i="1"/>
  <c r="R365" i="1" s="1"/>
  <c r="M364" i="1"/>
  <c r="R364" i="1" s="1"/>
  <c r="M363" i="1"/>
  <c r="R363" i="1" s="1"/>
  <c r="M362" i="1"/>
  <c r="R362" i="1" s="1"/>
  <c r="M357" i="1"/>
  <c r="R357" i="1" s="1"/>
  <c r="M356" i="1"/>
  <c r="R356" i="1" s="1"/>
  <c r="M355" i="1"/>
  <c r="R355" i="1" s="1"/>
  <c r="M354" i="1"/>
  <c r="R354" i="1" s="1"/>
  <c r="M353" i="1"/>
  <c r="R353" i="1" s="1"/>
  <c r="M352" i="1"/>
  <c r="R352" i="1" s="1"/>
  <c r="M351" i="1"/>
  <c r="R351" i="1" s="1"/>
  <c r="M350" i="1"/>
  <c r="R350" i="1" s="1"/>
  <c r="M349" i="1"/>
  <c r="R349" i="1" s="1"/>
  <c r="M348" i="1"/>
  <c r="R348" i="1" s="1"/>
  <c r="M347" i="1"/>
  <c r="R347" i="1" s="1"/>
  <c r="M346" i="1"/>
  <c r="R346" i="1" s="1"/>
  <c r="M345" i="1"/>
  <c r="R345" i="1" s="1"/>
  <c r="M344" i="1"/>
  <c r="R344" i="1" s="1"/>
  <c r="M343" i="1"/>
  <c r="R343" i="1" s="1"/>
  <c r="M342" i="1"/>
  <c r="R342" i="1" s="1"/>
  <c r="M341" i="1"/>
  <c r="R341" i="1" s="1"/>
  <c r="M340" i="1"/>
  <c r="R340" i="1" s="1"/>
  <c r="M339" i="1"/>
  <c r="R339" i="1" s="1"/>
  <c r="M338" i="1"/>
  <c r="R338" i="1" s="1"/>
  <c r="M337" i="1"/>
  <c r="R337" i="1" s="1"/>
  <c r="M336" i="1"/>
  <c r="R336" i="1" s="1"/>
  <c r="M331" i="1"/>
  <c r="R331" i="1" s="1"/>
  <c r="M330" i="1"/>
  <c r="R330" i="1" s="1"/>
  <c r="M329" i="1"/>
  <c r="R329" i="1" s="1"/>
  <c r="M328" i="1"/>
  <c r="R328" i="1" s="1"/>
  <c r="M327" i="1"/>
  <c r="R327" i="1" s="1"/>
  <c r="M326" i="1"/>
  <c r="R326" i="1" s="1"/>
  <c r="M325" i="1"/>
  <c r="R325" i="1" s="1"/>
  <c r="M324" i="1"/>
  <c r="R324" i="1" s="1"/>
  <c r="M323" i="1"/>
  <c r="R323" i="1" s="1"/>
  <c r="M322" i="1"/>
  <c r="R322" i="1" s="1"/>
  <c r="M321" i="1"/>
  <c r="R321" i="1" s="1"/>
  <c r="M320" i="1"/>
  <c r="R320" i="1" s="1"/>
  <c r="M319" i="1"/>
  <c r="R319" i="1" s="1"/>
  <c r="M318" i="1"/>
  <c r="R318" i="1" s="1"/>
  <c r="M317" i="1"/>
  <c r="R317" i="1" s="1"/>
  <c r="M316" i="1"/>
  <c r="R316" i="1" s="1"/>
  <c r="M315" i="1"/>
  <c r="R315" i="1" s="1"/>
  <c r="M314" i="1"/>
  <c r="R314" i="1" s="1"/>
  <c r="M313" i="1"/>
  <c r="R313" i="1" s="1"/>
  <c r="M312" i="1"/>
  <c r="R312" i="1" s="1"/>
  <c r="M311" i="1"/>
  <c r="R311" i="1" s="1"/>
  <c r="M310" i="1"/>
  <c r="R310" i="1" s="1"/>
  <c r="M305" i="1"/>
  <c r="R305" i="1" s="1"/>
  <c r="M304" i="1"/>
  <c r="R304" i="1" s="1"/>
  <c r="M303" i="1"/>
  <c r="R303" i="1" s="1"/>
  <c r="M302" i="1"/>
  <c r="R302" i="1" s="1"/>
  <c r="M301" i="1"/>
  <c r="R301" i="1" s="1"/>
  <c r="M300" i="1"/>
  <c r="R300" i="1" s="1"/>
  <c r="M299" i="1"/>
  <c r="R299" i="1" s="1"/>
  <c r="M298" i="1"/>
  <c r="R298" i="1" s="1"/>
  <c r="M297" i="1"/>
  <c r="R297" i="1" s="1"/>
  <c r="M296" i="1"/>
  <c r="R296" i="1" s="1"/>
  <c r="M295" i="1"/>
  <c r="R295" i="1" s="1"/>
  <c r="M294" i="1"/>
  <c r="R294" i="1" s="1"/>
  <c r="M293" i="1"/>
  <c r="R293" i="1" s="1"/>
  <c r="M292" i="1"/>
  <c r="R292" i="1" s="1"/>
  <c r="M291" i="1"/>
  <c r="R291" i="1" s="1"/>
  <c r="M290" i="1"/>
  <c r="R290" i="1" s="1"/>
  <c r="M289" i="1"/>
  <c r="R289" i="1" s="1"/>
  <c r="M288" i="1"/>
  <c r="R288" i="1" s="1"/>
  <c r="M287" i="1"/>
  <c r="R287" i="1" s="1"/>
  <c r="M286" i="1"/>
  <c r="R286" i="1" s="1"/>
  <c r="M285" i="1"/>
  <c r="R285" i="1" s="1"/>
  <c r="M284" i="1"/>
  <c r="R284" i="1" s="1"/>
  <c r="Q145" i="2"/>
  <c r="S145" i="2" s="1"/>
  <c r="Q144" i="2"/>
  <c r="Q143" i="2"/>
  <c r="Q142" i="2"/>
  <c r="S142" i="2" s="1"/>
  <c r="S144" i="2"/>
  <c r="S143" i="2"/>
  <c r="M167" i="2"/>
  <c r="C167" i="2"/>
  <c r="M166" i="2"/>
  <c r="C166" i="2"/>
  <c r="M165" i="2"/>
  <c r="C165" i="2"/>
  <c r="M164" i="2"/>
  <c r="C164" i="2"/>
  <c r="M163" i="2"/>
  <c r="C163" i="2"/>
  <c r="M162" i="2"/>
  <c r="C162" i="2"/>
  <c r="M161" i="2"/>
  <c r="C161" i="2"/>
  <c r="M160" i="2"/>
  <c r="C160" i="2"/>
  <c r="M159" i="2"/>
  <c r="C159" i="2"/>
  <c r="M158" i="2"/>
  <c r="C158" i="2"/>
  <c r="M157" i="2"/>
  <c r="C157" i="2"/>
  <c r="M156" i="2"/>
  <c r="C156" i="2"/>
  <c r="M155" i="2"/>
  <c r="C155" i="2"/>
  <c r="M154" i="2"/>
  <c r="C154" i="2"/>
  <c r="M153" i="2"/>
  <c r="C153" i="2"/>
  <c r="M152" i="2"/>
  <c r="C152" i="2"/>
  <c r="M151" i="2"/>
  <c r="C151" i="2"/>
  <c r="M150" i="2"/>
  <c r="C150" i="2"/>
  <c r="M149" i="2"/>
  <c r="C149" i="2"/>
  <c r="M148" i="2"/>
  <c r="C148" i="2"/>
  <c r="M147" i="2"/>
  <c r="C147" i="2"/>
  <c r="M146" i="2"/>
  <c r="M145" i="2"/>
  <c r="M144" i="2"/>
  <c r="M143" i="2"/>
  <c r="M142" i="2"/>
  <c r="M141" i="2"/>
  <c r="C141" i="2"/>
  <c r="M140" i="2"/>
  <c r="C140" i="2"/>
  <c r="M139" i="2"/>
  <c r="C139" i="2"/>
  <c r="M138" i="2"/>
  <c r="C138" i="2"/>
  <c r="M137" i="2"/>
  <c r="C137" i="2"/>
  <c r="M136" i="2"/>
  <c r="C136" i="2"/>
  <c r="M135" i="2"/>
  <c r="C135" i="2"/>
  <c r="M134" i="2"/>
  <c r="C134" i="2"/>
  <c r="M133" i="2"/>
  <c r="C133" i="2"/>
  <c r="M132" i="2"/>
  <c r="C132" i="2"/>
  <c r="M131" i="2"/>
  <c r="C131" i="2"/>
  <c r="M130" i="2"/>
  <c r="C130" i="2"/>
  <c r="M129" i="2"/>
  <c r="C129" i="2"/>
  <c r="M128" i="2"/>
  <c r="C128" i="2"/>
  <c r="M127" i="2"/>
  <c r="C127" i="2"/>
  <c r="M126" i="2"/>
  <c r="C126" i="2"/>
  <c r="M125" i="2"/>
  <c r="C125" i="2"/>
  <c r="M124" i="2"/>
  <c r="C124" i="2"/>
  <c r="M123" i="2"/>
  <c r="C123" i="2"/>
  <c r="M122" i="2"/>
  <c r="C122" i="2"/>
  <c r="M121" i="2"/>
  <c r="C121" i="2"/>
  <c r="M120" i="2"/>
  <c r="C120" i="2"/>
  <c r="M119" i="2"/>
  <c r="C119" i="2"/>
  <c r="M118" i="2"/>
  <c r="C118" i="2"/>
  <c r="M117" i="2"/>
  <c r="C117" i="2"/>
  <c r="M116" i="2"/>
  <c r="C116" i="2"/>
  <c r="M115" i="2"/>
  <c r="C115" i="2"/>
  <c r="M114" i="2"/>
  <c r="C114" i="2"/>
  <c r="M113" i="2"/>
  <c r="C113" i="2"/>
  <c r="M112" i="2"/>
  <c r="C112" i="2"/>
  <c r="M111" i="2"/>
  <c r="C111" i="2"/>
  <c r="M110" i="2"/>
  <c r="C110" i="2"/>
  <c r="M109" i="2"/>
  <c r="C109" i="2"/>
  <c r="M108" i="2"/>
  <c r="C108" i="2"/>
  <c r="M107" i="2"/>
  <c r="C107" i="2"/>
  <c r="M106" i="2"/>
  <c r="C106" i="2"/>
  <c r="M105" i="2"/>
  <c r="C105" i="2"/>
  <c r="M104" i="2"/>
  <c r="C104" i="2"/>
  <c r="Q103" i="2"/>
  <c r="S103" i="2"/>
  <c r="M103" i="2"/>
  <c r="C103" i="2"/>
  <c r="Q102" i="2"/>
  <c r="S102" i="2"/>
  <c r="M102" i="2"/>
  <c r="C102" i="2"/>
  <c r="Q101" i="2"/>
  <c r="S101" i="2"/>
  <c r="M101" i="2"/>
  <c r="C101" i="2"/>
  <c r="Q100" i="2"/>
  <c r="S100" i="2"/>
  <c r="M100" i="2"/>
  <c r="C100" i="2"/>
  <c r="Q99" i="2"/>
  <c r="S99" i="2" s="1"/>
  <c r="M99" i="2"/>
  <c r="C99" i="2"/>
  <c r="S98" i="2"/>
  <c r="M98" i="2"/>
  <c r="C98" i="2"/>
  <c r="S97" i="2"/>
  <c r="M97" i="2"/>
  <c r="C97" i="2"/>
  <c r="S96" i="2"/>
  <c r="M96" i="2"/>
  <c r="C96" i="2"/>
  <c r="Q95" i="2"/>
  <c r="S95" i="2"/>
  <c r="M95" i="2"/>
  <c r="Q94" i="2"/>
  <c r="S94" i="2"/>
  <c r="M94" i="2"/>
  <c r="Q93" i="2"/>
  <c r="S93" i="2" s="1"/>
  <c r="M93" i="2"/>
  <c r="Q92" i="2"/>
  <c r="S92" i="2"/>
  <c r="M92" i="2"/>
  <c r="M91" i="2"/>
  <c r="C91" i="2"/>
  <c r="M90" i="2"/>
  <c r="C90" i="2"/>
  <c r="M89" i="2"/>
  <c r="C89" i="2"/>
  <c r="M88" i="2"/>
  <c r="C88" i="2"/>
  <c r="M87" i="2"/>
  <c r="C87" i="2"/>
  <c r="M86" i="2"/>
  <c r="C86" i="2"/>
  <c r="M85" i="2"/>
  <c r="C85" i="2"/>
  <c r="M84" i="2"/>
  <c r="C84" i="2"/>
  <c r="M83" i="2"/>
  <c r="C83" i="2"/>
  <c r="M82" i="2"/>
  <c r="C82" i="2"/>
  <c r="M81" i="2"/>
  <c r="C81" i="2"/>
  <c r="M80" i="2"/>
  <c r="C80" i="2"/>
  <c r="M79" i="2"/>
  <c r="C79" i="2"/>
  <c r="M78" i="2"/>
  <c r="C78" i="2"/>
  <c r="M77" i="2"/>
  <c r="C77" i="2"/>
  <c r="M76" i="2"/>
  <c r="C76" i="2"/>
  <c r="M75" i="2"/>
  <c r="C75" i="2"/>
  <c r="M74" i="2"/>
  <c r="C74" i="2"/>
  <c r="M73" i="2"/>
  <c r="C73" i="2"/>
  <c r="M72" i="2"/>
  <c r="C72" i="2"/>
  <c r="M71" i="2"/>
  <c r="C71" i="2"/>
  <c r="M70" i="2"/>
  <c r="C70" i="2"/>
  <c r="M69" i="2"/>
  <c r="C69" i="2"/>
  <c r="M68" i="2"/>
  <c r="C68" i="2"/>
  <c r="M67" i="2"/>
  <c r="C67" i="2"/>
  <c r="M66" i="2"/>
  <c r="C66" i="2"/>
  <c r="M65" i="2"/>
  <c r="C65" i="2"/>
  <c r="M64" i="2"/>
  <c r="C64" i="2"/>
  <c r="M63" i="2"/>
  <c r="C63" i="2"/>
  <c r="M62" i="2"/>
  <c r="C62" i="2"/>
  <c r="M61" i="2"/>
  <c r="C61" i="2"/>
  <c r="M60" i="2"/>
  <c r="C60" i="2"/>
  <c r="M59" i="2"/>
  <c r="C59" i="2"/>
  <c r="M58" i="2"/>
  <c r="C58" i="2"/>
  <c r="M57" i="2"/>
  <c r="C57" i="2"/>
  <c r="M56" i="2"/>
  <c r="C56" i="2"/>
  <c r="S55" i="2"/>
  <c r="M55" i="2"/>
  <c r="C55" i="2"/>
  <c r="M54" i="2"/>
  <c r="C54" i="2"/>
  <c r="M53" i="2"/>
  <c r="C53" i="2"/>
  <c r="M52" i="2"/>
  <c r="C52" i="2"/>
  <c r="M51" i="2"/>
  <c r="C51" i="2"/>
  <c r="M50" i="2"/>
  <c r="C50" i="2"/>
  <c r="M49" i="2"/>
  <c r="C49" i="2"/>
  <c r="M48" i="2"/>
  <c r="C48" i="2"/>
  <c r="M47" i="2"/>
  <c r="C47" i="2"/>
  <c r="M46" i="2"/>
  <c r="C46" i="2"/>
  <c r="M45" i="2"/>
  <c r="C45" i="2"/>
  <c r="M44" i="2"/>
  <c r="C44" i="2"/>
  <c r="M43" i="2"/>
  <c r="C43" i="2"/>
  <c r="M42" i="2"/>
  <c r="C42" i="2"/>
  <c r="M41" i="2"/>
  <c r="C41" i="2"/>
  <c r="M40" i="2"/>
  <c r="C40" i="2"/>
  <c r="M39" i="2"/>
  <c r="C39" i="2"/>
  <c r="M38" i="2"/>
  <c r="C38" i="2"/>
  <c r="M37" i="2"/>
  <c r="C37" i="2"/>
  <c r="Q36" i="2"/>
  <c r="S36" i="2"/>
  <c r="M36" i="2"/>
  <c r="C36" i="2"/>
  <c r="Q35" i="2"/>
  <c r="S35" i="2"/>
  <c r="M35" i="2"/>
  <c r="C35" i="2"/>
  <c r="M34" i="2"/>
  <c r="C34" i="2"/>
  <c r="Q33" i="2"/>
  <c r="S33" i="2"/>
  <c r="M33" i="2"/>
  <c r="C33" i="2"/>
  <c r="Q32" i="2"/>
  <c r="S32" i="2"/>
  <c r="M32" i="2"/>
  <c r="C32" i="2"/>
  <c r="M31" i="2"/>
  <c r="C31" i="2"/>
  <c r="M30" i="2"/>
  <c r="C30" i="2"/>
  <c r="Q29" i="2"/>
  <c r="S29" i="2"/>
  <c r="M29" i="2"/>
  <c r="C29" i="2"/>
  <c r="M28" i="2"/>
  <c r="C28" i="2"/>
  <c r="M27" i="2"/>
  <c r="C27" i="2"/>
  <c r="Q26" i="2"/>
  <c r="S26" i="2"/>
  <c r="M26" i="2"/>
  <c r="C26" i="2"/>
  <c r="Q25" i="2"/>
  <c r="S25" i="2"/>
  <c r="M25" i="2"/>
  <c r="C25" i="2"/>
  <c r="Q24" i="2"/>
  <c r="S24" i="2"/>
  <c r="M24" i="2"/>
  <c r="C24" i="2"/>
  <c r="Q23" i="2"/>
  <c r="S23" i="2"/>
  <c r="M23" i="2"/>
  <c r="C23" i="2"/>
  <c r="Q22" i="2"/>
  <c r="S22" i="2"/>
  <c r="M22" i="2"/>
  <c r="C22" i="2"/>
  <c r="Q21" i="2"/>
  <c r="S21" i="2" s="1"/>
  <c r="M21" i="2"/>
  <c r="C21" i="2"/>
  <c r="M20" i="2"/>
  <c r="C20" i="2"/>
  <c r="L19" i="2"/>
  <c r="M19" i="2"/>
  <c r="C19" i="2"/>
  <c r="Q18" i="2"/>
  <c r="S18" i="2" s="1"/>
  <c r="M18" i="2"/>
  <c r="C18" i="2"/>
  <c r="Q17" i="2"/>
  <c r="S17" i="2" s="1"/>
  <c r="M17" i="2"/>
  <c r="Q16" i="2"/>
  <c r="S16" i="2"/>
  <c r="M16" i="2"/>
  <c r="Q15" i="2"/>
  <c r="S15" i="2"/>
  <c r="M15" i="2"/>
  <c r="C15" i="2"/>
  <c r="Q14" i="2"/>
  <c r="S14" i="2" s="1"/>
  <c r="M14" i="2"/>
  <c r="C14" i="2"/>
  <c r="Q13" i="2"/>
  <c r="S13" i="2" s="1"/>
  <c r="M13" i="2"/>
  <c r="C13" i="2"/>
  <c r="Q12" i="2"/>
  <c r="S12" i="2"/>
  <c r="M12" i="2"/>
  <c r="C12" i="2"/>
  <c r="Q11" i="2"/>
  <c r="S11" i="2" s="1"/>
  <c r="M11" i="2"/>
  <c r="C11" i="2"/>
  <c r="S10" i="2"/>
  <c r="Q10" i="2"/>
  <c r="M10" i="2"/>
  <c r="C10" i="2"/>
  <c r="M9" i="2"/>
  <c r="C9" i="2"/>
  <c r="M8" i="2"/>
  <c r="C8" i="2"/>
  <c r="L7" i="2"/>
  <c r="M7" i="2" s="1"/>
  <c r="C7" i="2"/>
  <c r="Q6" i="2"/>
  <c r="S6" i="2" s="1"/>
  <c r="M6" i="2"/>
  <c r="C6" i="2"/>
  <c r="P441" i="1"/>
  <c r="C441" i="1"/>
  <c r="P440" i="1"/>
  <c r="C440" i="1"/>
  <c r="AE439" i="1"/>
  <c r="AC439" i="1"/>
  <c r="V439" i="1"/>
  <c r="P439" i="1"/>
  <c r="C439" i="1"/>
  <c r="AE438" i="1"/>
  <c r="AC438" i="1"/>
  <c r="V438" i="1"/>
  <c r="P438" i="1"/>
  <c r="C438" i="1"/>
  <c r="AE437" i="1"/>
  <c r="AC437" i="1"/>
  <c r="V437" i="1"/>
  <c r="P437" i="1"/>
  <c r="C437" i="1"/>
  <c r="AE436" i="1"/>
  <c r="AC436" i="1"/>
  <c r="V436" i="1"/>
  <c r="P436" i="1"/>
  <c r="C436" i="1"/>
  <c r="AE435" i="1"/>
  <c r="AC435" i="1"/>
  <c r="V435" i="1"/>
  <c r="P435" i="1"/>
  <c r="C435" i="1"/>
  <c r="AE434" i="1"/>
  <c r="AC434" i="1"/>
  <c r="V434" i="1"/>
  <c r="P434" i="1"/>
  <c r="C434" i="1"/>
  <c r="AE433" i="1"/>
  <c r="AC433" i="1"/>
  <c r="V433" i="1"/>
  <c r="P433" i="1"/>
  <c r="C433" i="1"/>
  <c r="AE432" i="1"/>
  <c r="AC432" i="1"/>
  <c r="V432" i="1"/>
  <c r="P432" i="1"/>
  <c r="C432" i="1"/>
  <c r="AE431" i="1"/>
  <c r="AC431" i="1"/>
  <c r="V431" i="1"/>
  <c r="P431" i="1"/>
  <c r="C431" i="1"/>
  <c r="AE430" i="1"/>
  <c r="AC430" i="1"/>
  <c r="V430" i="1"/>
  <c r="P430" i="1"/>
  <c r="C430" i="1"/>
  <c r="AE429" i="1"/>
  <c r="AC429" i="1"/>
  <c r="V429" i="1"/>
  <c r="P429" i="1"/>
  <c r="C429" i="1"/>
  <c r="AE428" i="1"/>
  <c r="AC428" i="1"/>
  <c r="V428" i="1"/>
  <c r="P428" i="1"/>
  <c r="C428" i="1"/>
  <c r="AE427" i="1"/>
  <c r="AC427" i="1"/>
  <c r="V427" i="1"/>
  <c r="P427" i="1"/>
  <c r="C427" i="1"/>
  <c r="AE426" i="1"/>
  <c r="AC426" i="1"/>
  <c r="V426" i="1"/>
  <c r="P426" i="1"/>
  <c r="C426" i="1"/>
  <c r="AE425" i="1"/>
  <c r="AC425" i="1"/>
  <c r="V425" i="1"/>
  <c r="P425" i="1"/>
  <c r="C425" i="1"/>
  <c r="AE424" i="1"/>
  <c r="AC424" i="1"/>
  <c r="V424" i="1"/>
  <c r="P424" i="1"/>
  <c r="C424" i="1"/>
  <c r="AE423" i="1"/>
  <c r="AC423" i="1"/>
  <c r="V423" i="1"/>
  <c r="P423" i="1"/>
  <c r="C423" i="1"/>
  <c r="AE422" i="1"/>
  <c r="AC422" i="1"/>
  <c r="V422" i="1"/>
  <c r="P422" i="1"/>
  <c r="C422" i="1"/>
  <c r="AE421" i="1"/>
  <c r="AC421" i="1"/>
  <c r="V421" i="1"/>
  <c r="P421" i="1"/>
  <c r="C421" i="1"/>
  <c r="AE420" i="1"/>
  <c r="AC420" i="1"/>
  <c r="V420" i="1"/>
  <c r="P420" i="1"/>
  <c r="C420" i="1"/>
  <c r="AE419" i="1"/>
  <c r="AC419" i="1"/>
  <c r="V419" i="1"/>
  <c r="P419" i="1"/>
  <c r="C419" i="1"/>
  <c r="AE418" i="1"/>
  <c r="AC418" i="1"/>
  <c r="V418" i="1"/>
  <c r="P418" i="1"/>
  <c r="C418" i="1"/>
  <c r="AE417" i="1"/>
  <c r="AC417" i="1"/>
  <c r="V417" i="1"/>
  <c r="P417" i="1"/>
  <c r="C417" i="1"/>
  <c r="AE416" i="1"/>
  <c r="AC416" i="1"/>
  <c r="V416" i="1"/>
  <c r="P416" i="1"/>
  <c r="C416" i="1"/>
  <c r="AE415" i="1"/>
  <c r="AC415" i="1"/>
  <c r="V415" i="1"/>
  <c r="P415" i="1"/>
  <c r="C415" i="1"/>
  <c r="AE414" i="1"/>
  <c r="AC414" i="1"/>
  <c r="V414" i="1"/>
  <c r="P414" i="1"/>
  <c r="C414" i="1"/>
  <c r="AE413" i="1"/>
  <c r="AC413" i="1"/>
  <c r="V413" i="1"/>
  <c r="P413" i="1"/>
  <c r="C413" i="1"/>
  <c r="AE412" i="1"/>
  <c r="AC412" i="1"/>
  <c r="V412" i="1"/>
  <c r="P412" i="1"/>
  <c r="C412" i="1"/>
  <c r="AE411" i="1"/>
  <c r="AC411" i="1"/>
  <c r="V411" i="1"/>
  <c r="P411" i="1"/>
  <c r="C411" i="1"/>
  <c r="AE410" i="1"/>
  <c r="AC410" i="1"/>
  <c r="V410" i="1"/>
  <c r="P410" i="1"/>
  <c r="C410" i="1"/>
  <c r="AE409" i="1"/>
  <c r="AC409" i="1"/>
  <c r="V409" i="1"/>
  <c r="P409" i="1"/>
  <c r="C409" i="1"/>
  <c r="AE408" i="1"/>
  <c r="AC408" i="1"/>
  <c r="V408" i="1"/>
  <c r="P408" i="1"/>
  <c r="C408" i="1"/>
  <c r="AE407" i="1"/>
  <c r="AC407" i="1"/>
  <c r="V407" i="1"/>
  <c r="P407" i="1"/>
  <c r="C407" i="1"/>
  <c r="AE406" i="1"/>
  <c r="AC406" i="1"/>
  <c r="V406" i="1"/>
  <c r="P406" i="1"/>
  <c r="C406" i="1"/>
  <c r="AE405" i="1"/>
  <c r="AC405" i="1"/>
  <c r="V405" i="1"/>
  <c r="P405" i="1"/>
  <c r="C405" i="1"/>
  <c r="AE404" i="1"/>
  <c r="AC404" i="1"/>
  <c r="V404" i="1"/>
  <c r="P404" i="1"/>
  <c r="C404" i="1"/>
  <c r="AE403" i="1"/>
  <c r="AC403" i="1"/>
  <c r="V403" i="1"/>
  <c r="P403" i="1"/>
  <c r="C403" i="1"/>
  <c r="AE402" i="1"/>
  <c r="AC402" i="1"/>
  <c r="V402" i="1"/>
  <c r="P402" i="1"/>
  <c r="C402" i="1"/>
  <c r="AE401" i="1"/>
  <c r="AC401" i="1"/>
  <c r="V401" i="1"/>
  <c r="P401" i="1"/>
  <c r="C401" i="1"/>
  <c r="AE400" i="1"/>
  <c r="AC400" i="1"/>
  <c r="V400" i="1"/>
  <c r="P400" i="1"/>
  <c r="C400" i="1"/>
  <c r="AE399" i="1"/>
  <c r="AC399" i="1"/>
  <c r="V399" i="1"/>
  <c r="P399" i="1"/>
  <c r="C399" i="1"/>
  <c r="AE398" i="1"/>
  <c r="AC398" i="1"/>
  <c r="V398" i="1"/>
  <c r="P398" i="1"/>
  <c r="C398" i="1"/>
  <c r="AE397" i="1"/>
  <c r="AC397" i="1"/>
  <c r="V397" i="1"/>
  <c r="P397" i="1"/>
  <c r="C397" i="1"/>
  <c r="AE396" i="1"/>
  <c r="AC396" i="1"/>
  <c r="V396" i="1"/>
  <c r="P396" i="1"/>
  <c r="C396" i="1"/>
  <c r="AE395" i="1"/>
  <c r="AC395" i="1"/>
  <c r="V395" i="1"/>
  <c r="P395" i="1"/>
  <c r="C395" i="1"/>
  <c r="AE394" i="1"/>
  <c r="AC394" i="1"/>
  <c r="V394" i="1"/>
  <c r="P394" i="1"/>
  <c r="C394" i="1"/>
  <c r="AE393" i="1"/>
  <c r="AC393" i="1"/>
  <c r="V393" i="1"/>
  <c r="P393" i="1"/>
  <c r="C393" i="1"/>
  <c r="AE392" i="1"/>
  <c r="AC392" i="1"/>
  <c r="V392" i="1"/>
  <c r="P392" i="1"/>
  <c r="C392" i="1"/>
  <c r="AE391" i="1"/>
  <c r="AC391" i="1"/>
  <c r="V391" i="1"/>
  <c r="P391" i="1"/>
  <c r="C391" i="1"/>
  <c r="AE390" i="1"/>
  <c r="AC390" i="1"/>
  <c r="V390" i="1"/>
  <c r="P390" i="1"/>
  <c r="C390" i="1"/>
  <c r="AE389" i="1"/>
  <c r="AC389" i="1"/>
  <c r="V389" i="1"/>
  <c r="P389" i="1"/>
  <c r="C389" i="1"/>
  <c r="AE388" i="1"/>
  <c r="AC388" i="1"/>
  <c r="V388" i="1"/>
  <c r="P388" i="1"/>
  <c r="C388" i="1"/>
  <c r="AE387" i="1"/>
  <c r="AC387" i="1"/>
  <c r="V387" i="1"/>
  <c r="P387" i="1"/>
  <c r="AE386" i="1"/>
  <c r="AC386" i="1"/>
  <c r="V386" i="1"/>
  <c r="P386" i="1"/>
  <c r="AE385" i="1"/>
  <c r="AC385" i="1"/>
  <c r="V385" i="1"/>
  <c r="P385" i="1"/>
  <c r="AE384" i="1"/>
  <c r="AC384" i="1"/>
  <c r="V384" i="1"/>
  <c r="P384" i="1"/>
  <c r="AE383" i="1"/>
  <c r="AC383" i="1"/>
  <c r="AE382" i="1"/>
  <c r="AC382" i="1"/>
  <c r="T382" i="1"/>
  <c r="T381" i="1" s="1"/>
  <c r="T380" i="1" s="1"/>
  <c r="T379" i="1" s="1"/>
  <c r="T378" i="1" s="1"/>
  <c r="T377" i="1" s="1"/>
  <c r="T376" i="1" s="1"/>
  <c r="T375" i="1" s="1"/>
  <c r="T374" i="1" s="1"/>
  <c r="T373" i="1" s="1"/>
  <c r="T372" i="1" s="1"/>
  <c r="T371" i="1" s="1"/>
  <c r="T370" i="1" s="1"/>
  <c r="T369" i="1" s="1"/>
  <c r="T368" i="1" s="1"/>
  <c r="T367" i="1" s="1"/>
  <c r="T366" i="1" s="1"/>
  <c r="T365" i="1" s="1"/>
  <c r="T364" i="1" s="1"/>
  <c r="AE381" i="1"/>
  <c r="AC381" i="1"/>
  <c r="AE380" i="1"/>
  <c r="AC380" i="1"/>
  <c r="AE379" i="1"/>
  <c r="AC379" i="1"/>
  <c r="AE378" i="1"/>
  <c r="AC378" i="1"/>
  <c r="AE377" i="1"/>
  <c r="AC377" i="1"/>
  <c r="AE376" i="1"/>
  <c r="AC376" i="1"/>
  <c r="AE375" i="1"/>
  <c r="AC375" i="1"/>
  <c r="AE374" i="1"/>
  <c r="AC374" i="1"/>
  <c r="AE373" i="1"/>
  <c r="AC373" i="1"/>
  <c r="AE372" i="1"/>
  <c r="AC372" i="1"/>
  <c r="AE371" i="1"/>
  <c r="AC371" i="1"/>
  <c r="AE370" i="1"/>
  <c r="AC370" i="1"/>
  <c r="AE369" i="1"/>
  <c r="AC369" i="1"/>
  <c r="AE368" i="1"/>
  <c r="AC368" i="1"/>
  <c r="AE367" i="1"/>
  <c r="AC367" i="1"/>
  <c r="AE366" i="1"/>
  <c r="AC366" i="1"/>
  <c r="AE365" i="1"/>
  <c r="AC365" i="1"/>
  <c r="AE364" i="1"/>
  <c r="AC364" i="1"/>
  <c r="AE363" i="1"/>
  <c r="AC363" i="1"/>
  <c r="P363" i="1"/>
  <c r="AE362" i="1"/>
  <c r="AC362" i="1"/>
  <c r="T362" i="1"/>
  <c r="T361" i="1" s="1"/>
  <c r="T360" i="1" s="1"/>
  <c r="T359" i="1" s="1"/>
  <c r="T358" i="1" s="1"/>
  <c r="AE357" i="1"/>
  <c r="AC357" i="1"/>
  <c r="AE356" i="1"/>
  <c r="AC356" i="1"/>
  <c r="T356" i="1"/>
  <c r="T355" i="1" s="1"/>
  <c r="T354" i="1" s="1"/>
  <c r="T353" i="1" s="1"/>
  <c r="T352" i="1" s="1"/>
  <c r="T351" i="1" s="1"/>
  <c r="T350" i="1" s="1"/>
  <c r="T349" i="1" s="1"/>
  <c r="T348" i="1" s="1"/>
  <c r="T347" i="1" s="1"/>
  <c r="T346" i="1" s="1"/>
  <c r="T345" i="1" s="1"/>
  <c r="T344" i="1" s="1"/>
  <c r="T343" i="1" s="1"/>
  <c r="T342" i="1" s="1"/>
  <c r="T341" i="1" s="1"/>
  <c r="T340" i="1" s="1"/>
  <c r="T339" i="1" s="1"/>
  <c r="T338" i="1" s="1"/>
  <c r="AE355" i="1"/>
  <c r="AC355" i="1"/>
  <c r="AE354" i="1"/>
  <c r="AC354" i="1"/>
  <c r="AE353" i="1"/>
  <c r="AC353" i="1"/>
  <c r="AE352" i="1"/>
  <c r="AC352" i="1"/>
  <c r="AE351" i="1"/>
  <c r="AC351" i="1"/>
  <c r="AE350" i="1"/>
  <c r="AC350" i="1"/>
  <c r="AE349" i="1"/>
  <c r="AC349" i="1"/>
  <c r="AE348" i="1"/>
  <c r="AC348" i="1"/>
  <c r="AE347" i="1"/>
  <c r="AC347" i="1"/>
  <c r="AE346" i="1"/>
  <c r="AC346" i="1"/>
  <c r="AE345" i="1"/>
  <c r="AC345" i="1"/>
  <c r="AE344" i="1"/>
  <c r="AC344" i="1"/>
  <c r="AE343" i="1"/>
  <c r="AC343" i="1"/>
  <c r="AE342" i="1"/>
  <c r="AC342" i="1"/>
  <c r="AE341" i="1"/>
  <c r="AC341" i="1"/>
  <c r="AE340" i="1"/>
  <c r="AC340" i="1"/>
  <c r="AE339" i="1"/>
  <c r="AC339" i="1"/>
  <c r="AE338" i="1"/>
  <c r="AC338" i="1"/>
  <c r="AE337" i="1"/>
  <c r="AC337" i="1"/>
  <c r="P337" i="1"/>
  <c r="AE336" i="1"/>
  <c r="AC336" i="1"/>
  <c r="T336" i="1"/>
  <c r="T335" i="1" s="1"/>
  <c r="T334" i="1" s="1"/>
  <c r="T333" i="1" s="1"/>
  <c r="T332" i="1" s="1"/>
  <c r="AE331" i="1"/>
  <c r="AC331" i="1"/>
  <c r="AE330" i="1"/>
  <c r="AC330" i="1"/>
  <c r="T330" i="1"/>
  <c r="T329" i="1" s="1"/>
  <c r="T328" i="1" s="1"/>
  <c r="T327" i="1" s="1"/>
  <c r="T326" i="1" s="1"/>
  <c r="T325" i="1" s="1"/>
  <c r="T324" i="1" s="1"/>
  <c r="T323" i="1" s="1"/>
  <c r="T322" i="1" s="1"/>
  <c r="T321" i="1" s="1"/>
  <c r="T320" i="1" s="1"/>
  <c r="T319" i="1" s="1"/>
  <c r="T318" i="1" s="1"/>
  <c r="T317" i="1" s="1"/>
  <c r="T316" i="1" s="1"/>
  <c r="T315" i="1" s="1"/>
  <c r="T314" i="1" s="1"/>
  <c r="T313" i="1" s="1"/>
  <c r="T312" i="1" s="1"/>
  <c r="AE329" i="1"/>
  <c r="AC329" i="1"/>
  <c r="AE328" i="1"/>
  <c r="AC328" i="1"/>
  <c r="AE327" i="1"/>
  <c r="AC327" i="1"/>
  <c r="AE326" i="1"/>
  <c r="AC326" i="1"/>
  <c r="AE325" i="1"/>
  <c r="AC325" i="1"/>
  <c r="AE324" i="1"/>
  <c r="AC324" i="1"/>
  <c r="AE323" i="1"/>
  <c r="AC323" i="1"/>
  <c r="AE322" i="1"/>
  <c r="AC322" i="1"/>
  <c r="AE321" i="1"/>
  <c r="AC321" i="1"/>
  <c r="AE320" i="1"/>
  <c r="AC320" i="1"/>
  <c r="AE319" i="1"/>
  <c r="AC319" i="1"/>
  <c r="AE318" i="1"/>
  <c r="AC318" i="1"/>
  <c r="AE317" i="1"/>
  <c r="AC317" i="1"/>
  <c r="AE316" i="1"/>
  <c r="AC316" i="1"/>
  <c r="AE315" i="1"/>
  <c r="AC315" i="1"/>
  <c r="AE314" i="1"/>
  <c r="AC314" i="1"/>
  <c r="AE313" i="1"/>
  <c r="AC313" i="1"/>
  <c r="AE312" i="1"/>
  <c r="AC312" i="1"/>
  <c r="AE311" i="1"/>
  <c r="AC311" i="1"/>
  <c r="P311" i="1"/>
  <c r="AE310" i="1"/>
  <c r="AC310" i="1"/>
  <c r="T310" i="1"/>
  <c r="T309" i="1" s="1"/>
  <c r="T308" i="1" s="1"/>
  <c r="T307" i="1" s="1"/>
  <c r="T306" i="1" s="1"/>
  <c r="AE305" i="1"/>
  <c r="AC305" i="1"/>
  <c r="AE304" i="1"/>
  <c r="AC304" i="1"/>
  <c r="T304" i="1"/>
  <c r="T303" i="1" s="1"/>
  <c r="T302" i="1" s="1"/>
  <c r="T301" i="1" s="1"/>
  <c r="T300" i="1" s="1"/>
  <c r="T299" i="1" s="1"/>
  <c r="T298" i="1" s="1"/>
  <c r="T297" i="1" s="1"/>
  <c r="T296" i="1" s="1"/>
  <c r="T295" i="1" s="1"/>
  <c r="T294" i="1" s="1"/>
  <c r="T293" i="1" s="1"/>
  <c r="T292" i="1" s="1"/>
  <c r="T291" i="1" s="1"/>
  <c r="T290" i="1" s="1"/>
  <c r="T289" i="1" s="1"/>
  <c r="T288" i="1" s="1"/>
  <c r="T287" i="1" s="1"/>
  <c r="T286" i="1" s="1"/>
  <c r="AE303" i="1"/>
  <c r="AC303" i="1"/>
  <c r="AE302" i="1"/>
  <c r="AC302" i="1"/>
  <c r="AE301" i="1"/>
  <c r="AC301" i="1"/>
  <c r="AE300" i="1"/>
  <c r="AC300" i="1"/>
  <c r="AE299" i="1"/>
  <c r="AC299" i="1"/>
  <c r="AE298" i="1"/>
  <c r="AC298" i="1"/>
  <c r="AE297" i="1"/>
  <c r="AC297" i="1"/>
  <c r="AE296" i="1"/>
  <c r="AC296" i="1"/>
  <c r="AE295" i="1"/>
  <c r="AC295" i="1"/>
  <c r="AE294" i="1"/>
  <c r="AC294" i="1"/>
  <c r="AE293" i="1"/>
  <c r="AC293" i="1"/>
  <c r="AE292" i="1"/>
  <c r="AC292" i="1"/>
  <c r="AE291" i="1"/>
  <c r="AC291" i="1"/>
  <c r="AE290" i="1"/>
  <c r="AC290" i="1"/>
  <c r="AE289" i="1"/>
  <c r="AC289" i="1"/>
  <c r="AE288" i="1"/>
  <c r="AC288" i="1"/>
  <c r="AE287" i="1"/>
  <c r="AC287" i="1"/>
  <c r="AE286" i="1"/>
  <c r="AC286" i="1"/>
  <c r="AE285" i="1"/>
  <c r="AC285" i="1"/>
  <c r="P285" i="1"/>
  <c r="AE284" i="1"/>
  <c r="AC284" i="1"/>
  <c r="T284" i="1"/>
  <c r="T283" i="1" s="1"/>
  <c r="T282" i="1" s="1"/>
  <c r="T281" i="1" s="1"/>
  <c r="T280" i="1" s="1"/>
  <c r="AE279" i="1"/>
  <c r="T279" i="1"/>
  <c r="V279" i="1" s="1"/>
  <c r="P279" i="1"/>
  <c r="AE278" i="1"/>
  <c r="P278" i="1"/>
  <c r="AE277" i="1"/>
  <c r="P277" i="1"/>
  <c r="AE276" i="1"/>
  <c r="P276" i="1"/>
  <c r="AE275" i="1"/>
  <c r="P275" i="1"/>
  <c r="AE274" i="1"/>
  <c r="P274" i="1"/>
  <c r="AE273" i="1"/>
  <c r="P273" i="1"/>
  <c r="AE272" i="1"/>
  <c r="P272" i="1"/>
  <c r="AE271" i="1"/>
  <c r="P271" i="1"/>
  <c r="AE270" i="1"/>
  <c r="P270" i="1"/>
  <c r="AE269" i="1"/>
  <c r="P269" i="1"/>
  <c r="AE268" i="1"/>
  <c r="P268" i="1"/>
  <c r="AE267" i="1"/>
  <c r="P267" i="1"/>
  <c r="AE266" i="1"/>
  <c r="P266" i="1"/>
  <c r="AE265" i="1"/>
  <c r="P265" i="1"/>
  <c r="AE264" i="1"/>
  <c r="P264" i="1"/>
  <c r="AE263" i="1"/>
  <c r="P263" i="1"/>
  <c r="AE262" i="1"/>
  <c r="P262" i="1"/>
  <c r="AE261" i="1"/>
  <c r="P261" i="1"/>
  <c r="AE260" i="1"/>
  <c r="P260" i="1"/>
  <c r="C260" i="1"/>
  <c r="AE259" i="1"/>
  <c r="AE254" i="1"/>
  <c r="V254" i="1"/>
  <c r="P254" i="1"/>
  <c r="AE253" i="1"/>
  <c r="T253" i="1"/>
  <c r="V253" i="1" s="1"/>
  <c r="P253" i="1"/>
  <c r="AE252" i="1"/>
  <c r="P252" i="1"/>
  <c r="AE251" i="1"/>
  <c r="P251" i="1"/>
  <c r="AE250" i="1"/>
  <c r="P250" i="1"/>
  <c r="AE249" i="1"/>
  <c r="P249" i="1"/>
  <c r="AE248" i="1"/>
  <c r="P248" i="1"/>
  <c r="AE247" i="1"/>
  <c r="P247" i="1"/>
  <c r="AE246" i="1"/>
  <c r="P246" i="1"/>
  <c r="AE245" i="1"/>
  <c r="P245" i="1"/>
  <c r="AE244" i="1"/>
  <c r="P244" i="1"/>
  <c r="AE243" i="1"/>
  <c r="P243" i="1"/>
  <c r="AE242" i="1"/>
  <c r="P242" i="1"/>
  <c r="AE241" i="1"/>
  <c r="P241" i="1"/>
  <c r="AE240" i="1"/>
  <c r="P240" i="1"/>
  <c r="AE239" i="1"/>
  <c r="P239" i="1"/>
  <c r="AE238" i="1"/>
  <c r="P238" i="1"/>
  <c r="AE237" i="1"/>
  <c r="P237" i="1"/>
  <c r="AE236" i="1"/>
  <c r="P236" i="1"/>
  <c r="AE235" i="1"/>
  <c r="P235" i="1"/>
  <c r="AE234" i="1"/>
  <c r="P234" i="1"/>
  <c r="C234" i="1"/>
  <c r="AE233" i="1"/>
  <c r="AE228" i="1"/>
  <c r="AC228" i="1"/>
  <c r="T228" i="1"/>
  <c r="V228" i="1" s="1"/>
  <c r="P228" i="1"/>
  <c r="AE227" i="1"/>
  <c r="AC227" i="1"/>
  <c r="P227" i="1"/>
  <c r="AE226" i="1"/>
  <c r="AC226" i="1"/>
  <c r="P226" i="1"/>
  <c r="AE225" i="1"/>
  <c r="AC225" i="1"/>
  <c r="P225" i="1"/>
  <c r="AE224" i="1"/>
  <c r="AC224" i="1"/>
  <c r="P224" i="1"/>
  <c r="AE223" i="1"/>
  <c r="AC223" i="1"/>
  <c r="P223" i="1"/>
  <c r="AE222" i="1"/>
  <c r="AC222" i="1"/>
  <c r="P222" i="1"/>
  <c r="AE221" i="1"/>
  <c r="AC221" i="1"/>
  <c r="P221" i="1"/>
  <c r="AE220" i="1"/>
  <c r="AC220" i="1"/>
  <c r="P220" i="1"/>
  <c r="AE219" i="1"/>
  <c r="AC219" i="1"/>
  <c r="P219" i="1"/>
  <c r="AE218" i="1"/>
  <c r="AC218" i="1"/>
  <c r="U218" i="1"/>
  <c r="V218" i="1" s="1"/>
  <c r="P218" i="1"/>
  <c r="C218" i="1"/>
  <c r="AE217" i="1"/>
  <c r="AC217" i="1"/>
  <c r="T217" i="1"/>
  <c r="T216" i="1" s="1"/>
  <c r="AE212" i="1"/>
  <c r="AC212" i="1"/>
  <c r="T212" i="1"/>
  <c r="T211" i="1" s="1"/>
  <c r="P212" i="1"/>
  <c r="AE211" i="1"/>
  <c r="AC211" i="1"/>
  <c r="P211" i="1"/>
  <c r="AE210" i="1"/>
  <c r="AC210" i="1"/>
  <c r="P210" i="1"/>
  <c r="AE209" i="1"/>
  <c r="AC209" i="1"/>
  <c r="P209" i="1"/>
  <c r="AE208" i="1"/>
  <c r="AC208" i="1"/>
  <c r="P208" i="1"/>
  <c r="AE207" i="1"/>
  <c r="AC207" i="1"/>
  <c r="P207" i="1"/>
  <c r="AE206" i="1"/>
  <c r="AC206" i="1"/>
  <c r="P206" i="1"/>
  <c r="AE205" i="1"/>
  <c r="AC205" i="1"/>
  <c r="P205" i="1"/>
  <c r="AE204" i="1"/>
  <c r="AC204" i="1"/>
  <c r="P204" i="1"/>
  <c r="AE203" i="1"/>
  <c r="AC203" i="1"/>
  <c r="P203" i="1"/>
  <c r="AE202" i="1"/>
  <c r="AC202" i="1"/>
  <c r="V202" i="1"/>
  <c r="P202" i="1"/>
  <c r="C202" i="1"/>
  <c r="AE201" i="1"/>
  <c r="AC201" i="1"/>
  <c r="T201" i="1"/>
  <c r="V201" i="1" s="1"/>
  <c r="AE196" i="1"/>
  <c r="AC196" i="1"/>
  <c r="T196" i="1"/>
  <c r="V196" i="1" s="1"/>
  <c r="P196" i="1"/>
  <c r="AE195" i="1"/>
  <c r="AC195" i="1"/>
  <c r="P195" i="1"/>
  <c r="AE194" i="1"/>
  <c r="P194" i="1"/>
  <c r="AE193" i="1"/>
  <c r="AC193" i="1"/>
  <c r="P193" i="1"/>
  <c r="AE192" i="1"/>
  <c r="AC192" i="1"/>
  <c r="P192" i="1"/>
  <c r="AE191" i="1"/>
  <c r="AC191" i="1"/>
  <c r="P191" i="1"/>
  <c r="AE190" i="1"/>
  <c r="AC190" i="1"/>
  <c r="P190" i="1"/>
  <c r="AE189" i="1"/>
  <c r="AC189" i="1"/>
  <c r="P189" i="1"/>
  <c r="AE188" i="1"/>
  <c r="AC188" i="1"/>
  <c r="P188" i="1"/>
  <c r="AE187" i="1"/>
  <c r="AC187" i="1"/>
  <c r="P187" i="1"/>
  <c r="AE186" i="1"/>
  <c r="U186" i="1"/>
  <c r="V186" i="1" s="1"/>
  <c r="P186" i="1"/>
  <c r="C186" i="1"/>
  <c r="AE185" i="1"/>
  <c r="T185" i="1"/>
  <c r="V185" i="1" s="1"/>
  <c r="AE177" i="1"/>
  <c r="T177" i="1"/>
  <c r="T176" i="1" s="1"/>
  <c r="P177" i="1"/>
  <c r="AE176" i="1"/>
  <c r="AC176" i="1"/>
  <c r="P176" i="1"/>
  <c r="AE175" i="1"/>
  <c r="P175" i="1"/>
  <c r="AE174" i="1"/>
  <c r="AC174" i="1"/>
  <c r="P174" i="1"/>
  <c r="AE173" i="1"/>
  <c r="AC173" i="1"/>
  <c r="P173" i="1"/>
  <c r="AE172" i="1"/>
  <c r="AC172" i="1"/>
  <c r="P172" i="1"/>
  <c r="AE171" i="1"/>
  <c r="AC171" i="1"/>
  <c r="P171" i="1"/>
  <c r="AE170" i="1"/>
  <c r="AC170" i="1"/>
  <c r="P170" i="1"/>
  <c r="AE169" i="1"/>
  <c r="AC169" i="1"/>
  <c r="P169" i="1"/>
  <c r="AE168" i="1"/>
  <c r="AC168" i="1"/>
  <c r="P168" i="1"/>
  <c r="AE167" i="1"/>
  <c r="V167" i="1"/>
  <c r="P167" i="1"/>
  <c r="C167" i="1"/>
  <c r="AE166" i="1"/>
  <c r="T166" i="1"/>
  <c r="V166" i="1" s="1"/>
  <c r="AE157" i="1"/>
  <c r="AC157" i="1"/>
  <c r="V157" i="1"/>
  <c r="P157" i="1"/>
  <c r="C157" i="1"/>
  <c r="AE152" i="1"/>
  <c r="AC152" i="1"/>
  <c r="T152" i="1"/>
  <c r="V152" i="1" s="1"/>
  <c r="P152" i="1"/>
  <c r="AE151" i="1"/>
  <c r="AC151" i="1"/>
  <c r="V151" i="1"/>
  <c r="P151" i="1"/>
  <c r="C151" i="1"/>
  <c r="AE150" i="1"/>
  <c r="AC150" i="1"/>
  <c r="T150" i="1"/>
  <c r="V150" i="1" s="1"/>
  <c r="AE145" i="1"/>
  <c r="AC145" i="1"/>
  <c r="T145" i="1"/>
  <c r="V145" i="1" s="1"/>
  <c r="P145" i="1"/>
  <c r="AE144" i="1"/>
  <c r="AC144" i="1"/>
  <c r="V144" i="1"/>
  <c r="P144" i="1"/>
  <c r="C144" i="1"/>
  <c r="AE143" i="1"/>
  <c r="AC143" i="1"/>
  <c r="T143" i="1"/>
  <c r="V143" i="1" s="1"/>
  <c r="AE138" i="1"/>
  <c r="AC138" i="1"/>
  <c r="T138" i="1"/>
  <c r="V138" i="1" s="1"/>
  <c r="P138" i="1"/>
  <c r="AE137" i="1"/>
  <c r="AC137" i="1"/>
  <c r="V137" i="1"/>
  <c r="P137" i="1"/>
  <c r="C137" i="1"/>
  <c r="AE136" i="1"/>
  <c r="AC136" i="1"/>
  <c r="T136" i="1"/>
  <c r="T135" i="1" s="1"/>
  <c r="AE131" i="1"/>
  <c r="AC131" i="1"/>
  <c r="T131" i="1"/>
  <c r="V131" i="1" s="1"/>
  <c r="P131" i="1"/>
  <c r="AE130" i="1"/>
  <c r="AC130" i="1"/>
  <c r="V130" i="1"/>
  <c r="P130" i="1"/>
  <c r="C130" i="1"/>
  <c r="AE125" i="1"/>
  <c r="AC125" i="1"/>
  <c r="V125" i="1"/>
  <c r="P125" i="1"/>
  <c r="C125" i="1"/>
  <c r="AE124" i="1"/>
  <c r="AC124" i="1"/>
  <c r="T124" i="1"/>
  <c r="T123" i="1" s="1"/>
  <c r="T122" i="1" s="1"/>
  <c r="AE119" i="1"/>
  <c r="AC119" i="1"/>
  <c r="T119" i="1"/>
  <c r="V119" i="1" s="1"/>
  <c r="P119" i="1"/>
  <c r="AE118" i="1"/>
  <c r="AC118" i="1"/>
  <c r="P118" i="1"/>
  <c r="AE117" i="1"/>
  <c r="AC117" i="1"/>
  <c r="P117" i="1"/>
  <c r="AE116" i="1"/>
  <c r="AC116" i="1"/>
  <c r="P116" i="1"/>
  <c r="AE115" i="1"/>
  <c r="AC115" i="1"/>
  <c r="P115" i="1"/>
  <c r="AE114" i="1"/>
  <c r="AC114" i="1"/>
  <c r="P114" i="1"/>
  <c r="AE113" i="1"/>
  <c r="AC113" i="1"/>
  <c r="V113" i="1"/>
  <c r="P113" i="1"/>
  <c r="C113" i="1"/>
  <c r="AE112" i="1"/>
  <c r="AC112" i="1"/>
  <c r="T112" i="1"/>
  <c r="T111" i="1" s="1"/>
  <c r="AE105" i="1"/>
  <c r="AC105" i="1"/>
  <c r="T105" i="1"/>
  <c r="V105" i="1" s="1"/>
  <c r="P105" i="1"/>
  <c r="AE104" i="1"/>
  <c r="AC104" i="1"/>
  <c r="P104" i="1"/>
  <c r="AE103" i="1"/>
  <c r="AC103" i="1"/>
  <c r="P103" i="1"/>
  <c r="AE102" i="1"/>
  <c r="AC102" i="1"/>
  <c r="P102" i="1"/>
  <c r="AE101" i="1"/>
  <c r="AC101" i="1"/>
  <c r="P101" i="1"/>
  <c r="AE100" i="1"/>
  <c r="AC100" i="1"/>
  <c r="P100" i="1"/>
  <c r="AE99" i="1"/>
  <c r="AC99" i="1"/>
  <c r="P99" i="1"/>
  <c r="AE98" i="1"/>
  <c r="AC98" i="1"/>
  <c r="V98" i="1"/>
  <c r="P98" i="1"/>
  <c r="C98" i="1"/>
  <c r="AE97" i="1"/>
  <c r="AC97" i="1"/>
  <c r="AE92" i="1"/>
  <c r="AC92" i="1"/>
  <c r="T92" i="1"/>
  <c r="T91" i="1" s="1"/>
  <c r="P92" i="1"/>
  <c r="AE91" i="1"/>
  <c r="AC91" i="1"/>
  <c r="P91" i="1"/>
  <c r="AE90" i="1"/>
  <c r="AC90" i="1"/>
  <c r="P90" i="1"/>
  <c r="AE89" i="1"/>
  <c r="AC89" i="1"/>
  <c r="P89" i="1"/>
  <c r="AE88" i="1"/>
  <c r="AC88" i="1"/>
  <c r="P88" i="1"/>
  <c r="AE87" i="1"/>
  <c r="AC87" i="1"/>
  <c r="P87" i="1"/>
  <c r="AE86" i="1"/>
  <c r="AC86" i="1"/>
  <c r="P86" i="1"/>
  <c r="AE85" i="1"/>
  <c r="AC85" i="1"/>
  <c r="P85" i="1"/>
  <c r="AE84" i="1"/>
  <c r="AC84" i="1"/>
  <c r="P84" i="1"/>
  <c r="AE83" i="1"/>
  <c r="AC83" i="1"/>
  <c r="V83" i="1"/>
  <c r="P83" i="1"/>
  <c r="C83" i="1"/>
  <c r="AE82" i="1"/>
  <c r="AC82" i="1"/>
  <c r="T82" i="1"/>
  <c r="V82" i="1" s="1"/>
  <c r="AE77" i="1"/>
  <c r="AC77" i="1"/>
  <c r="T77" i="1"/>
  <c r="V77" i="1" s="1"/>
  <c r="P77" i="1"/>
  <c r="AE76" i="1"/>
  <c r="AC76" i="1"/>
  <c r="P76" i="1"/>
  <c r="AE75" i="1"/>
  <c r="AC75" i="1"/>
  <c r="P75" i="1"/>
  <c r="AE74" i="1"/>
  <c r="AC74" i="1"/>
  <c r="P74" i="1"/>
  <c r="AE73" i="1"/>
  <c r="AC73" i="1"/>
  <c r="P73" i="1"/>
  <c r="AE72" i="1"/>
  <c r="AC72" i="1"/>
  <c r="P72" i="1"/>
  <c r="AE71" i="1"/>
  <c r="AC71" i="1"/>
  <c r="P71" i="1"/>
  <c r="AE70" i="1"/>
  <c r="AC70" i="1"/>
  <c r="P70" i="1"/>
  <c r="AE69" i="1"/>
  <c r="AC69" i="1"/>
  <c r="P69" i="1"/>
  <c r="AE68" i="1"/>
  <c r="AC68" i="1"/>
  <c r="U68" i="1"/>
  <c r="V68" i="1" s="1"/>
  <c r="P68" i="1"/>
  <c r="C68" i="1"/>
  <c r="AE67" i="1"/>
  <c r="AC67" i="1"/>
  <c r="T67" i="1"/>
  <c r="V67" i="1" s="1"/>
  <c r="AE53" i="1"/>
  <c r="AC53" i="1"/>
  <c r="T53" i="1"/>
  <c r="T52" i="1" s="1"/>
  <c r="P53" i="1"/>
  <c r="AE52" i="1"/>
  <c r="AC52" i="1"/>
  <c r="P52" i="1"/>
  <c r="AE51" i="1"/>
  <c r="AC51" i="1"/>
  <c r="P51" i="1"/>
  <c r="AE50" i="1"/>
  <c r="AC50" i="1"/>
  <c r="P50" i="1"/>
  <c r="AE49" i="1"/>
  <c r="AC49" i="1"/>
  <c r="P49" i="1"/>
  <c r="AE48" i="1"/>
  <c r="AC48" i="1"/>
  <c r="P48" i="1"/>
  <c r="AE47" i="1"/>
  <c r="AC47" i="1"/>
  <c r="P47" i="1"/>
  <c r="AE46" i="1"/>
  <c r="AC46" i="1"/>
  <c r="P46" i="1"/>
  <c r="AE45" i="1"/>
  <c r="AC45" i="1"/>
  <c r="P45" i="1"/>
  <c r="AE44" i="1"/>
  <c r="V44" i="1"/>
  <c r="P44" i="1"/>
  <c r="N44" i="1"/>
  <c r="AC44" i="1" s="1"/>
  <c r="C44" i="1"/>
  <c r="AE43" i="1"/>
  <c r="AC43" i="1"/>
  <c r="T43" i="1"/>
  <c r="V43" i="1" s="1"/>
  <c r="AE14" i="1"/>
  <c r="AC14" i="1"/>
  <c r="AE13" i="1"/>
  <c r="AC13" i="1"/>
  <c r="T13" i="1"/>
  <c r="T12" i="1" s="1"/>
  <c r="T11" i="1" s="1"/>
  <c r="P13" i="1"/>
  <c r="AE12" i="1"/>
  <c r="AC12" i="1"/>
  <c r="P12" i="1"/>
  <c r="AE11" i="1"/>
  <c r="AC11" i="1"/>
  <c r="P11" i="1"/>
  <c r="AE10" i="1"/>
  <c r="AC10" i="1"/>
  <c r="P10" i="1"/>
  <c r="AE9" i="1"/>
  <c r="AC9" i="1"/>
  <c r="P9" i="1"/>
  <c r="AE8" i="1"/>
  <c r="AC8" i="1"/>
  <c r="P8" i="1"/>
  <c r="AE7" i="1"/>
  <c r="AC7" i="1"/>
  <c r="AE6" i="1"/>
  <c r="AC6" i="1"/>
  <c r="P6" i="1"/>
  <c r="AE5" i="1"/>
  <c r="AC5" i="1"/>
  <c r="P5" i="1"/>
  <c r="C5" i="1"/>
  <c r="AE4" i="1"/>
  <c r="P4" i="1"/>
  <c r="N4" i="1"/>
  <c r="AC4" i="1" s="1"/>
  <c r="C4" i="1"/>
  <c r="R255" i="1" l="1"/>
  <c r="N255" i="1"/>
  <c r="AC255" i="1" s="1"/>
  <c r="N229" i="1"/>
  <c r="AC229" i="1" s="1"/>
  <c r="R229" i="1"/>
  <c r="R256" i="1"/>
  <c r="N256" i="1"/>
  <c r="AC256" i="1" s="1"/>
  <c r="R230" i="1"/>
  <c r="N230" i="1"/>
  <c r="AC230" i="1" s="1"/>
  <c r="V122" i="1"/>
  <c r="T121" i="1"/>
  <c r="V97" i="1"/>
  <c r="N250" i="1"/>
  <c r="AC250" i="1" s="1"/>
  <c r="N257" i="1"/>
  <c r="AC257" i="1" s="1"/>
  <c r="R257" i="1"/>
  <c r="R231" i="1"/>
  <c r="N231" i="1"/>
  <c r="AC231" i="1" s="1"/>
  <c r="V216" i="1"/>
  <c r="T215" i="1"/>
  <c r="V13" i="1"/>
  <c r="V135" i="1"/>
  <c r="T134" i="1"/>
  <c r="V123" i="1"/>
  <c r="V129" i="1"/>
  <c r="T128" i="1"/>
  <c r="V111" i="1"/>
  <c r="T110" i="1"/>
  <c r="V96" i="1"/>
  <c r="T95" i="1"/>
  <c r="R242" i="1"/>
  <c r="R263" i="1"/>
  <c r="T227" i="1"/>
  <c r="V227" i="1" s="1"/>
  <c r="R241" i="1"/>
  <c r="N238" i="1"/>
  <c r="AC238" i="1" s="1"/>
  <c r="T200" i="1"/>
  <c r="T175" i="1"/>
  <c r="V175" i="1" s="1"/>
  <c r="V176" i="1"/>
  <c r="T104" i="1"/>
  <c r="V104" i="1" s="1"/>
  <c r="N246" i="1"/>
  <c r="AC246" i="1" s="1"/>
  <c r="T142" i="1"/>
  <c r="N247" i="1"/>
  <c r="AC247" i="1" s="1"/>
  <c r="V177" i="1"/>
  <c r="T184" i="1"/>
  <c r="N279" i="1"/>
  <c r="AC279" i="1" s="1"/>
  <c r="V53" i="1"/>
  <c r="N232" i="1"/>
  <c r="AC232" i="1" s="1"/>
  <c r="R269" i="1"/>
  <c r="N268" i="1"/>
  <c r="AC268" i="1" s="1"/>
  <c r="V112" i="1"/>
  <c r="N267" i="1"/>
  <c r="AC267" i="1" s="1"/>
  <c r="N278" i="1"/>
  <c r="AC278" i="1" s="1"/>
  <c r="V124" i="1"/>
  <c r="N260" i="1"/>
  <c r="AC260" i="1" s="1"/>
  <c r="V136" i="1"/>
  <c r="T278" i="1"/>
  <c r="N259" i="1"/>
  <c r="AC259" i="1" s="1"/>
  <c r="N233" i="1"/>
  <c r="AC233" i="1" s="1"/>
  <c r="R262" i="1"/>
  <c r="R248" i="1"/>
  <c r="N253" i="1"/>
  <c r="AC253" i="1" s="1"/>
  <c r="N252" i="1"/>
  <c r="AC252" i="1" s="1"/>
  <c r="T51" i="1"/>
  <c r="V52" i="1"/>
  <c r="V211" i="1"/>
  <c r="T210" i="1"/>
  <c r="T209" i="1" s="1"/>
  <c r="V209" i="1" s="1"/>
  <c r="T76" i="1"/>
  <c r="R274" i="1"/>
  <c r="R235" i="1"/>
  <c r="N273" i="1"/>
  <c r="AC273" i="1" s="1"/>
  <c r="N272" i="1"/>
  <c r="AC272" i="1" s="1"/>
  <c r="N234" i="1"/>
  <c r="AC234" i="1" s="1"/>
  <c r="N271" i="1"/>
  <c r="AC271" i="1" s="1"/>
  <c r="T118" i="1"/>
  <c r="T81" i="1"/>
  <c r="T149" i="1"/>
  <c r="V92" i="1"/>
  <c r="T42" i="1"/>
  <c r="V212" i="1"/>
  <c r="N240" i="1"/>
  <c r="AC240" i="1" s="1"/>
  <c r="N266" i="1"/>
  <c r="AC266" i="1" s="1"/>
  <c r="N261" i="1"/>
  <c r="AC261" i="1" s="1"/>
  <c r="R275" i="1"/>
  <c r="R254" i="1"/>
  <c r="R236" i="1"/>
  <c r="T10" i="1"/>
  <c r="V11" i="1"/>
  <c r="T90" i="1"/>
  <c r="V91" i="1"/>
  <c r="N245" i="1"/>
  <c r="AC245" i="1" s="1"/>
  <c r="T195" i="1"/>
  <c r="V217" i="1"/>
  <c r="V12" i="1"/>
  <c r="T165" i="1"/>
  <c r="T252" i="1"/>
  <c r="N251" i="1"/>
  <c r="AC251" i="1" s="1"/>
  <c r="R239" i="1"/>
  <c r="N237" i="1"/>
  <c r="AC237" i="1" s="1"/>
  <c r="N277" i="1"/>
  <c r="AC277" i="1" s="1"/>
  <c r="N265" i="1"/>
  <c r="AC265" i="1" s="1"/>
  <c r="N249" i="1"/>
  <c r="AC249" i="1" s="1"/>
  <c r="R244" i="1"/>
  <c r="T66" i="1"/>
  <c r="N276" i="1"/>
  <c r="AC276" i="1" s="1"/>
  <c r="N264" i="1"/>
  <c r="AC264" i="1" s="1"/>
  <c r="R270" i="1"/>
  <c r="R258" i="1"/>
  <c r="R243" i="1"/>
  <c r="V121" i="1" l="1"/>
  <c r="T120" i="1"/>
  <c r="V120" i="1" s="1"/>
  <c r="V215" i="1"/>
  <c r="T214" i="1"/>
  <c r="V134" i="1"/>
  <c r="T133" i="1"/>
  <c r="V128" i="1"/>
  <c r="T127" i="1"/>
  <c r="V110" i="1"/>
  <c r="T107" i="1"/>
  <c r="V107" i="1" s="1"/>
  <c r="V95" i="1"/>
  <c r="T94" i="1"/>
  <c r="T226" i="1"/>
  <c r="V226" i="1" s="1"/>
  <c r="V200" i="1"/>
  <c r="T199" i="1"/>
  <c r="V184" i="1"/>
  <c r="T183" i="1"/>
  <c r="V165" i="1"/>
  <c r="T164" i="1"/>
  <c r="V149" i="1"/>
  <c r="T148" i="1"/>
  <c r="V142" i="1"/>
  <c r="T141" i="1"/>
  <c r="V81" i="1"/>
  <c r="T80" i="1"/>
  <c r="V66" i="1"/>
  <c r="T65" i="1"/>
  <c r="V42" i="1"/>
  <c r="T41" i="1"/>
  <c r="T174" i="1"/>
  <c r="T173" i="1" s="1"/>
  <c r="V210" i="1"/>
  <c r="T103" i="1"/>
  <c r="T102" i="1" s="1"/>
  <c r="T208" i="1"/>
  <c r="T207" i="1" s="1"/>
  <c r="V278" i="1"/>
  <c r="T277" i="1"/>
  <c r="T117" i="1"/>
  <c r="V118" i="1"/>
  <c r="T75" i="1"/>
  <c r="V76" i="1"/>
  <c r="V51" i="1"/>
  <c r="T50" i="1"/>
  <c r="T89" i="1"/>
  <c r="V90" i="1"/>
  <c r="T251" i="1"/>
  <c r="V252" i="1"/>
  <c r="V195" i="1"/>
  <c r="T194" i="1"/>
  <c r="T9" i="1"/>
  <c r="V10" i="1"/>
  <c r="V214" i="1" l="1"/>
  <c r="T213" i="1"/>
  <c r="V213" i="1" s="1"/>
  <c r="V133" i="1"/>
  <c r="T132" i="1"/>
  <c r="V132" i="1" s="1"/>
  <c r="V127" i="1"/>
  <c r="T126" i="1"/>
  <c r="V126" i="1" s="1"/>
  <c r="V94" i="1"/>
  <c r="T93" i="1"/>
  <c r="V93" i="1" s="1"/>
  <c r="V199" i="1"/>
  <c r="T198" i="1"/>
  <c r="V183" i="1"/>
  <c r="T181" i="1"/>
  <c r="V164" i="1"/>
  <c r="T162" i="1"/>
  <c r="V148" i="1"/>
  <c r="T147" i="1"/>
  <c r="V141" i="1"/>
  <c r="T140" i="1"/>
  <c r="V65" i="1"/>
  <c r="T59" i="1"/>
  <c r="V41" i="1"/>
  <c r="T35" i="1"/>
  <c r="V80" i="1"/>
  <c r="T79" i="1"/>
  <c r="T225" i="1"/>
  <c r="V225" i="1" s="1"/>
  <c r="V174" i="1"/>
  <c r="V103" i="1"/>
  <c r="V208" i="1"/>
  <c r="V277" i="1"/>
  <c r="T276" i="1"/>
  <c r="V50" i="1"/>
  <c r="T49" i="1"/>
  <c r="V75" i="1"/>
  <c r="T74" i="1"/>
  <c r="T116" i="1"/>
  <c r="V117" i="1"/>
  <c r="T193" i="1"/>
  <c r="V194" i="1"/>
  <c r="V173" i="1"/>
  <c r="T172" i="1"/>
  <c r="V9" i="1"/>
  <c r="T8" i="1"/>
  <c r="V251" i="1"/>
  <c r="T250" i="1"/>
  <c r="V207" i="1"/>
  <c r="T206" i="1"/>
  <c r="T101" i="1"/>
  <c r="V102" i="1"/>
  <c r="T88" i="1"/>
  <c r="V89" i="1"/>
  <c r="V198" i="1" l="1"/>
  <c r="T197" i="1"/>
  <c r="V197" i="1" s="1"/>
  <c r="V181" i="1"/>
  <c r="T178" i="1"/>
  <c r="V178" i="1" s="1"/>
  <c r="V162" i="1"/>
  <c r="T158" i="1"/>
  <c r="V158" i="1" s="1"/>
  <c r="V147" i="1"/>
  <c r="T146" i="1"/>
  <c r="V146" i="1" s="1"/>
  <c r="V140" i="1"/>
  <c r="T139" i="1"/>
  <c r="V139" i="1" s="1"/>
  <c r="V79" i="1"/>
  <c r="T78" i="1"/>
  <c r="V78" i="1" s="1"/>
  <c r="V59" i="1"/>
  <c r="T54" i="1"/>
  <c r="V54" i="1" s="1"/>
  <c r="V35" i="1"/>
  <c r="T29" i="1"/>
  <c r="V29" i="1" s="1"/>
  <c r="T224" i="1"/>
  <c r="V224" i="1" s="1"/>
  <c r="T275" i="1"/>
  <c r="V276" i="1"/>
  <c r="V116" i="1"/>
  <c r="T115" i="1"/>
  <c r="T73" i="1"/>
  <c r="V74" i="1"/>
  <c r="T48" i="1"/>
  <c r="V49" i="1"/>
  <c r="V250" i="1"/>
  <c r="T249" i="1"/>
  <c r="T7" i="1"/>
  <c r="V8" i="1"/>
  <c r="T205" i="1"/>
  <c r="V206" i="1"/>
  <c r="T171" i="1"/>
  <c r="V172" i="1"/>
  <c r="V88" i="1"/>
  <c r="T87" i="1"/>
  <c r="T100" i="1"/>
  <c r="V101" i="1"/>
  <c r="V193" i="1"/>
  <c r="T192" i="1"/>
  <c r="T223" i="1" l="1"/>
  <c r="T222" i="1" s="1"/>
  <c r="V222" i="1" s="1"/>
  <c r="V275" i="1"/>
  <c r="T274" i="1"/>
  <c r="V48" i="1"/>
  <c r="T47" i="1"/>
  <c r="T72" i="1"/>
  <c r="V73" i="1"/>
  <c r="T114" i="1"/>
  <c r="V114" i="1" s="1"/>
  <c r="V115" i="1"/>
  <c r="T191" i="1"/>
  <c r="V192" i="1"/>
  <c r="V100" i="1"/>
  <c r="T99" i="1"/>
  <c r="V99" i="1" s="1"/>
  <c r="T86" i="1"/>
  <c r="V87" i="1"/>
  <c r="V7" i="1"/>
  <c r="T6" i="1"/>
  <c r="T170" i="1"/>
  <c r="V171" i="1"/>
  <c r="V205" i="1"/>
  <c r="T204" i="1"/>
  <c r="V249" i="1"/>
  <c r="T248" i="1"/>
  <c r="T221" i="1" l="1"/>
  <c r="V221" i="1" s="1"/>
  <c r="V223" i="1"/>
  <c r="T273" i="1"/>
  <c r="V274" i="1"/>
  <c r="T71" i="1"/>
  <c r="V72" i="1"/>
  <c r="T46" i="1"/>
  <c r="V47" i="1"/>
  <c r="T247" i="1"/>
  <c r="V248" i="1"/>
  <c r="T85" i="1"/>
  <c r="V86" i="1"/>
  <c r="V6" i="1"/>
  <c r="T5" i="1"/>
  <c r="T203" i="1"/>
  <c r="V203" i="1" s="1"/>
  <c r="V204" i="1"/>
  <c r="V170" i="1"/>
  <c r="T169" i="1"/>
  <c r="T190" i="1"/>
  <c r="V191" i="1"/>
  <c r="T220" i="1" l="1"/>
  <c r="T219" i="1" s="1"/>
  <c r="V219" i="1" s="1"/>
  <c r="T272" i="1"/>
  <c r="V273" i="1"/>
  <c r="T45" i="1"/>
  <c r="V45" i="1" s="1"/>
  <c r="V46" i="1"/>
  <c r="V71" i="1"/>
  <c r="T70" i="1"/>
  <c r="V5" i="1"/>
  <c r="T4" i="1"/>
  <c r="V169" i="1"/>
  <c r="T168" i="1"/>
  <c r="V168" i="1" s="1"/>
  <c r="V190" i="1"/>
  <c r="T189" i="1"/>
  <c r="T84" i="1"/>
  <c r="V84" i="1" s="1"/>
  <c r="V85" i="1"/>
  <c r="V247" i="1"/>
  <c r="T246" i="1"/>
  <c r="V220" i="1" l="1"/>
  <c r="T271" i="1"/>
  <c r="V272" i="1"/>
  <c r="T69" i="1"/>
  <c r="V69" i="1" s="1"/>
  <c r="V70" i="1"/>
  <c r="V4" i="1"/>
  <c r="T14" i="1"/>
  <c r="V189" i="1"/>
  <c r="T188" i="1"/>
  <c r="V246" i="1"/>
  <c r="T245" i="1"/>
  <c r="T270" i="1" l="1"/>
  <c r="V271" i="1"/>
  <c r="T244" i="1"/>
  <c r="V245" i="1"/>
  <c r="T187" i="1"/>
  <c r="V187" i="1" s="1"/>
  <c r="V188" i="1"/>
  <c r="T15" i="1"/>
  <c r="V14" i="1"/>
  <c r="V15" i="1" l="1"/>
  <c r="T16" i="1"/>
  <c r="T269" i="1"/>
  <c r="V270" i="1"/>
  <c r="T243" i="1"/>
  <c r="V244" i="1"/>
  <c r="T17" i="1" l="1"/>
  <c r="V16" i="1"/>
  <c r="T268" i="1"/>
  <c r="V269" i="1"/>
  <c r="T242" i="1"/>
  <c r="V243" i="1"/>
  <c r="V17" i="1" l="1"/>
  <c r="T23" i="1"/>
  <c r="T267" i="1"/>
  <c r="V268" i="1"/>
  <c r="V242" i="1"/>
  <c r="T241" i="1"/>
  <c r="V267" i="1" l="1"/>
  <c r="T266" i="1"/>
  <c r="T240" i="1"/>
  <c r="V241" i="1"/>
  <c r="V266" i="1" l="1"/>
  <c r="T265" i="1"/>
  <c r="V240" i="1"/>
  <c r="T239" i="1"/>
  <c r="T264" i="1" l="1"/>
  <c r="V265" i="1"/>
  <c r="T238" i="1"/>
  <c r="V239" i="1"/>
  <c r="V264" i="1" l="1"/>
  <c r="T263" i="1"/>
  <c r="V238" i="1"/>
  <c r="T237" i="1"/>
  <c r="T262" i="1" l="1"/>
  <c r="V263" i="1"/>
  <c r="V237" i="1"/>
  <c r="T236" i="1"/>
  <c r="T261" i="1" l="1"/>
  <c r="V262" i="1"/>
  <c r="V236" i="1"/>
  <c r="T235" i="1"/>
  <c r="V261" i="1" l="1"/>
  <c r="T260" i="1"/>
  <c r="T234" i="1"/>
  <c r="V235" i="1"/>
  <c r="T259" i="1" l="1"/>
  <c r="V260" i="1"/>
  <c r="T233" i="1"/>
  <c r="V234" i="1"/>
  <c r="T258" i="1" l="1"/>
  <c r="V259" i="1"/>
  <c r="T232" i="1"/>
  <c r="V233" i="1"/>
  <c r="V258" i="1" l="1"/>
  <c r="T257" i="1"/>
  <c r="V232" i="1"/>
  <c r="T231" i="1"/>
  <c r="V257" i="1" l="1"/>
  <c r="T256" i="1"/>
  <c r="V231" i="1"/>
  <c r="T230" i="1"/>
  <c r="V256" i="1" l="1"/>
  <c r="T255" i="1"/>
  <c r="V255" i="1" s="1"/>
  <c r="V230" i="1"/>
  <c r="T229" i="1"/>
  <c r="V2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tc={D64B31B5-537A-4D80-8C5A-07276242A151}</author>
    <author>tc={5C2208E1-2E66-4BE3-8AD4-A1AC5FC45B8B}</author>
  </authors>
  <commentList>
    <comment ref="W3" authorId="0" shapeId="0" xr:uid="{D64B31B5-537A-4D80-8C5A-07276242A151}">
      <text>
        <t>[Threaded comment]
Your version of Excel allows you to read this threaded comment; however, any edits to it will get removed if the file is opened in a newer version of Excel. Learn more: https://go.microsoft.com/fwlink/?linkid=870924
Comment:
    Follow with the description in latest 2D drawings.</t>
      </text>
    </comment>
    <comment ref="AA3" authorId="1" shapeId="0" xr:uid="{5C2208E1-2E66-4BE3-8AD4-A1AC5FC45B8B}">
      <text>
        <t>[Threaded comment]
Your version of Excel allows you to read this threaded comment; however, any edits to it will get removed if the file is opened in a newer version of Excel. Learn more: https://go.microsoft.com/fwlink/?linkid=870924
Comment:
    Painting, anodizing, printing or others</t>
      </text>
    </comment>
  </commentList>
</comments>
</file>

<file path=xl/sharedStrings.xml><?xml version="1.0" encoding="utf-8"?>
<sst xmlns="http://schemas.openxmlformats.org/spreadsheetml/2006/main" count="4921" uniqueCount="253">
  <si>
    <t>Year</t>
  </si>
  <si>
    <t>Month</t>
  </si>
  <si>
    <t>Row Labels</t>
  </si>
  <si>
    <t>Sum of Total Capex Cost</t>
  </si>
  <si>
    <t>Sum of Remaining Capex Cost</t>
  </si>
  <si>
    <t>Sum of Total Spend</t>
  </si>
  <si>
    <t xml:space="preserve">Alto Pod </t>
  </si>
  <si>
    <t>Box 5000 Full 2.0</t>
  </si>
  <si>
    <t>Box 8000 Full 2.0</t>
  </si>
  <si>
    <t>DP1500</t>
  </si>
  <si>
    <t>KUMA E-Box ROW</t>
  </si>
  <si>
    <t>Pen 800 Default 2.0</t>
  </si>
  <si>
    <t>Grand Total</t>
  </si>
  <si>
    <t>Product category</t>
  </si>
  <si>
    <t>RCS POD</t>
  </si>
  <si>
    <t>RCS DEVICE</t>
  </si>
  <si>
    <t>MODI</t>
  </si>
  <si>
    <t>HP</t>
  </si>
  <si>
    <t>MO</t>
  </si>
  <si>
    <t>请确保和最新的2D 图纸一样，包括大小写. 字体请用Calibri， 10 号字体</t>
  </si>
  <si>
    <t>Project</t>
  </si>
  <si>
    <t>Product Category</t>
  </si>
  <si>
    <t>Part Name</t>
  </si>
  <si>
    <t>Part No.</t>
  </si>
  <si>
    <t xml:space="preserve">Supplier </t>
  </si>
  <si>
    <t>Commonality</t>
  </si>
  <si>
    <t>Commodity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</si>
  <si>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</si>
  <si>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</si>
  <si>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</si>
  <si>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</si>
  <si>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</si>
  <si>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</si>
  <si>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</si>
  <si>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</si>
  <si>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</si>
  <si>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</si>
  <si>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</si>
  <si>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</si>
  <si>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</si>
  <si>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</si>
  <si>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</si>
  <si>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</si>
  <si>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</si>
  <si>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</si>
  <si>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</si>
  <si>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</si>
  <si>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</si>
  <si>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Remark</t>
  </si>
  <si>
    <t>Top cover</t>
  </si>
  <si>
    <t>130040670013934</t>
  </si>
  <si>
    <t>Dongguan Wellsun Plastic</t>
  </si>
  <si>
    <t>Plastic</t>
  </si>
  <si>
    <t>LG PC LUPOY  GP1000ML</t>
  </si>
  <si>
    <t>Yellow,Aqua,Orange,Black,Red,Blue</t>
  </si>
  <si>
    <t>Printing</t>
  </si>
  <si>
    <r>
      <rPr>
        <sz val="10"/>
        <color theme="1"/>
        <rFont val="宋体"/>
        <charset val="134"/>
      </rPr>
      <t>分摊单价差额导致</t>
    </r>
    <r>
      <rPr>
        <sz val="10"/>
        <color theme="1"/>
        <rFont val="Calibri"/>
        <family val="2"/>
      </rPr>
      <t>108,800 RMB</t>
    </r>
    <r>
      <rPr>
        <sz val="10"/>
        <color theme="1"/>
        <rFont val="宋体"/>
        <charset val="134"/>
      </rPr>
      <t>需支付</t>
    </r>
  </si>
  <si>
    <t>Aqua</t>
  </si>
  <si>
    <t>Black</t>
  </si>
  <si>
    <t>Blue</t>
  </si>
  <si>
    <t>Orange</t>
  </si>
  <si>
    <t>Red</t>
  </si>
  <si>
    <t>Yellow</t>
  </si>
  <si>
    <t>Bottom cover</t>
  </si>
  <si>
    <t>130040670019337</t>
  </si>
  <si>
    <r>
      <rPr>
        <sz val="10"/>
        <color theme="1"/>
        <rFont val="宋体"/>
        <charset val="134"/>
      </rPr>
      <t>分摊单价差额导致67,2</t>
    </r>
    <r>
      <rPr>
        <sz val="10"/>
        <color theme="1"/>
        <rFont val="Calibri"/>
        <family val="2"/>
      </rPr>
      <t>00 RMB</t>
    </r>
    <r>
      <rPr>
        <sz val="10"/>
        <color theme="1"/>
        <rFont val="宋体"/>
        <charset val="134"/>
      </rPr>
      <t>需支付</t>
    </r>
  </si>
  <si>
    <t>Button</t>
  </si>
  <si>
    <t>130040670019383</t>
  </si>
  <si>
    <t>PCBA holder</t>
  </si>
  <si>
    <t>130040670013937</t>
  </si>
  <si>
    <t>PC2456</t>
  </si>
  <si>
    <t>BLACK</t>
  </si>
  <si>
    <r>
      <rPr>
        <sz val="10"/>
        <color theme="1"/>
        <rFont val="Calibri"/>
        <family val="2"/>
      </rPr>
      <t>1</t>
    </r>
    <r>
      <rPr>
        <sz val="10"/>
        <color theme="1"/>
        <rFont val="宋体"/>
        <charset val="134"/>
      </rPr>
      <t>次</t>
    </r>
    <r>
      <rPr>
        <sz val="10"/>
        <color theme="1"/>
        <rFont val="Calibri"/>
        <family val="2"/>
      </rPr>
      <t>ECN</t>
    </r>
  </si>
  <si>
    <t>Light guide</t>
  </si>
  <si>
    <t>130040670019391</t>
  </si>
  <si>
    <t>Milky translucent</t>
  </si>
  <si>
    <t>Cartridge tank</t>
  </si>
  <si>
    <t>130040670043027</t>
  </si>
  <si>
    <t>PCTG 1501</t>
  </si>
  <si>
    <t xml:space="preserve">Semi-transparent green </t>
  </si>
  <si>
    <t>Blue semi-transparent</t>
  </si>
  <si>
    <t>Purple semi-transparent</t>
  </si>
  <si>
    <t>aqua,Light yellow semi-transparent,Orange semi-transparent,Purple semi-transparent,Golden yellow semi-transparent,Blue semi-transparent,The forest is green and half transparent,Lavender semi-transparent,Yellow semi-transparent,Semi-transparent green and semi-transparent</t>
  </si>
  <si>
    <r>
      <rPr>
        <sz val="10"/>
        <color theme="1"/>
        <rFont val="Calibri"/>
        <family val="2"/>
      </rPr>
      <t>3</t>
    </r>
    <r>
      <rPr>
        <sz val="10"/>
        <color theme="1"/>
        <rFont val="宋体"/>
        <charset val="134"/>
      </rPr>
      <t>次</t>
    </r>
    <r>
      <rPr>
        <sz val="10"/>
        <color theme="1"/>
        <rFont val="Calibri"/>
        <family val="2"/>
      </rPr>
      <t>ECN</t>
    </r>
  </si>
  <si>
    <t>130040670023444</t>
  </si>
  <si>
    <t>Heater top cover</t>
  </si>
  <si>
    <t>130040670023445</t>
  </si>
  <si>
    <t>Transparent</t>
  </si>
  <si>
    <t>Heating holder</t>
  </si>
  <si>
    <t>130040670023448</t>
  </si>
  <si>
    <t>130040670023442</t>
  </si>
  <si>
    <t>Inner bracket</t>
  </si>
  <si>
    <t>130040670023440</t>
  </si>
  <si>
    <t>Bottom cover-KC</t>
  </si>
  <si>
    <t>130040670019338</t>
  </si>
  <si>
    <t xml:space="preserve"> Printing </t>
  </si>
  <si>
    <t>130040670021244</t>
  </si>
  <si>
    <t>aqua</t>
  </si>
  <si>
    <t>mauve</t>
  </si>
  <si>
    <t>blue</t>
  </si>
  <si>
    <t>blue,mauve,orange,Golden yellow,Forest green,yellow,Translucent green,purple,aqua,Pale yellow</t>
  </si>
  <si>
    <r>
      <rPr>
        <sz val="10"/>
        <color rgb="FF000000"/>
        <rFont val="宋体"/>
      </rPr>
      <t>2次</t>
    </r>
    <r>
      <rPr>
        <sz val="10"/>
        <color rgb="FF000000"/>
        <rFont val="Calibri"/>
        <family val="2"/>
      </rPr>
      <t>ECN</t>
    </r>
  </si>
  <si>
    <t>130040670034715</t>
  </si>
  <si>
    <t>130040670021246</t>
  </si>
  <si>
    <t>130040670034735</t>
  </si>
  <si>
    <r>
      <rPr>
        <sz val="10"/>
        <color theme="1"/>
        <rFont val="Calibri"/>
        <family val="2"/>
      </rPr>
      <t>2</t>
    </r>
    <r>
      <rPr>
        <sz val="10"/>
        <color theme="1"/>
        <rFont val="宋体"/>
        <charset val="134"/>
      </rPr>
      <t>次</t>
    </r>
    <r>
      <rPr>
        <sz val="10"/>
        <color theme="1"/>
        <rFont val="Calibri"/>
        <family val="2"/>
      </rPr>
      <t>ECN</t>
    </r>
  </si>
  <si>
    <t>Battery tube</t>
  </si>
  <si>
    <t>130040660001514</t>
  </si>
  <si>
    <t>White</t>
  </si>
  <si>
    <t>Painting</t>
  </si>
  <si>
    <t>Mouth piece</t>
  </si>
  <si>
    <t>13004013040453X</t>
  </si>
  <si>
    <t>Cartridge Tube</t>
  </si>
  <si>
    <t>130010390000214</t>
  </si>
  <si>
    <t>Indonesia Wellsun Plastic</t>
  </si>
  <si>
    <t>Heating Holder</t>
  </si>
  <si>
    <t>130010390000215</t>
  </si>
  <si>
    <t>Cartomizer Holder Tap</t>
  </si>
  <si>
    <t>130010390000216</t>
  </si>
  <si>
    <t>130010390000221</t>
  </si>
  <si>
    <t>Details for Sum of Total Tool cost - Project: Alto Pod , Tool type: Hard tool, Payment Status: No (+)</t>
  </si>
  <si>
    <t>Stage</t>
  </si>
  <si>
    <t>Cavity</t>
  </si>
  <si>
    <t>Tooling Capacity Per Month</t>
  </si>
  <si>
    <t>Total Capacity Per Month</t>
  </si>
  <si>
    <t>Tooling life</t>
  </si>
  <si>
    <t>Tool type</t>
  </si>
  <si>
    <t>Kick off date</t>
  </si>
  <si>
    <t>Tool Unit cost</t>
  </si>
  <si>
    <t>Q'ty</t>
  </si>
  <si>
    <t>Total Tool cost</t>
  </si>
  <si>
    <t>Requested by Whom</t>
  </si>
  <si>
    <t>Approval Status</t>
  </si>
  <si>
    <t>Payment Status</t>
  </si>
  <si>
    <t>Email</t>
  </si>
  <si>
    <t>POA</t>
  </si>
  <si>
    <t>Hard tool</t>
  </si>
  <si>
    <t>Chris</t>
  </si>
  <si>
    <t>Approved</t>
  </si>
  <si>
    <t>No</t>
  </si>
  <si>
    <t>印尼项目美金结算</t>
  </si>
  <si>
    <t>ok</t>
  </si>
  <si>
    <t>DP</t>
  </si>
  <si>
    <t>(Multiple Items)</t>
  </si>
  <si>
    <t>(All)</t>
  </si>
  <si>
    <t>Sum of Total Tool cost</t>
  </si>
  <si>
    <t>Soft tool</t>
  </si>
  <si>
    <t>Soft tool EC</t>
  </si>
  <si>
    <t>Hard tool EC</t>
  </si>
  <si>
    <t>16 cavities</t>
  </si>
  <si>
    <t>8 cavities</t>
  </si>
  <si>
    <t>ok,share with item 6</t>
  </si>
  <si>
    <t>ok,share with item 7</t>
  </si>
  <si>
    <t>130040670019383
130040670024316</t>
  </si>
  <si>
    <t>2+2</t>
  </si>
  <si>
    <t>130040670013603</t>
  </si>
  <si>
    <t>Button-A and Button-B share one mold</t>
  </si>
  <si>
    <t>Button-B thicker and Matte thicker sahre one mold</t>
  </si>
  <si>
    <t>OK</t>
  </si>
  <si>
    <t>Plastic plug</t>
  </si>
  <si>
    <t>/</t>
  </si>
  <si>
    <t>Bottom cover-B</t>
  </si>
  <si>
    <t>OK, share with item 56</t>
  </si>
  <si>
    <t>检测费用</t>
  </si>
  <si>
    <t>HESTIA MAX (non smart)</t>
  </si>
  <si>
    <t>130010670084791</t>
  </si>
  <si>
    <t>Heater Holder</t>
  </si>
  <si>
    <t>130010670071674</t>
  </si>
  <si>
    <t>Heater cover</t>
  </si>
  <si>
    <t>130010670071675</t>
  </si>
  <si>
    <t>Pen 800 Full 2.0</t>
  </si>
  <si>
    <t>130040670017669</t>
  </si>
  <si>
    <t>130040670017656</t>
  </si>
  <si>
    <t>Battery module top cover</t>
  </si>
  <si>
    <t>130040670017658</t>
  </si>
  <si>
    <t>130040670017662</t>
  </si>
  <si>
    <t>OK, share with item 131</t>
  </si>
  <si>
    <t>KUMA E-Pen 1.0 ROW</t>
  </si>
  <si>
    <t>Bottom Plug</t>
  </si>
  <si>
    <t>130010670092441</t>
  </si>
  <si>
    <t>Column Labels</t>
  </si>
  <si>
    <t>Vega</t>
  </si>
  <si>
    <t>Requested by Who</t>
  </si>
  <si>
    <t xml:space="preserve">Box 8000 1.0 </t>
  </si>
  <si>
    <t>Yes</t>
  </si>
  <si>
    <t>POP</t>
  </si>
  <si>
    <t>Metal</t>
  </si>
  <si>
    <t>Not Approved</t>
  </si>
  <si>
    <t>Anodizing</t>
  </si>
  <si>
    <t>Candy</t>
  </si>
  <si>
    <t>Silicone</t>
  </si>
  <si>
    <t>POC</t>
  </si>
  <si>
    <t>Charlie</t>
  </si>
  <si>
    <t>Die-cut</t>
  </si>
  <si>
    <t>Others</t>
  </si>
  <si>
    <t>Box 800 Default 2.0</t>
  </si>
  <si>
    <t>Magnet</t>
  </si>
  <si>
    <t>Box 800 Full 2.0</t>
  </si>
  <si>
    <t>Box 3000 Full 2.0</t>
  </si>
  <si>
    <t>Sensa 5K</t>
  </si>
  <si>
    <t>ePod/epod2 cartridge</t>
  </si>
  <si>
    <t>Prismatic Pod</t>
  </si>
  <si>
    <t>before</t>
  </si>
  <si>
    <t>after</t>
  </si>
  <si>
    <t>X3 2P</t>
  </si>
  <si>
    <t>Hyper Pro 2P</t>
  </si>
  <si>
    <t>X3 Core</t>
  </si>
  <si>
    <t>Hyper Core</t>
  </si>
  <si>
    <t>X3 1P</t>
  </si>
  <si>
    <t xml:space="preserve">Hyper Pro </t>
  </si>
  <si>
    <t>Artemis 1P</t>
  </si>
  <si>
    <t>Artemis 2P</t>
  </si>
  <si>
    <t>Artemis BRUSH</t>
  </si>
  <si>
    <t>Artemis 1.1 CORE</t>
  </si>
  <si>
    <t>Artemis 1.1 PRO</t>
  </si>
  <si>
    <t>Clyde POD</t>
  </si>
  <si>
    <t>Clyde RCS DEVICE</t>
  </si>
  <si>
    <t>Bacchus</t>
  </si>
  <si>
    <t>Adonis 1P</t>
  </si>
  <si>
    <t>Adonis 2P</t>
  </si>
  <si>
    <t>1K BOX ESG</t>
  </si>
  <si>
    <t>1K BOX SEMI</t>
  </si>
  <si>
    <t>HYPER BESPOKE</t>
  </si>
  <si>
    <t>X2</t>
  </si>
  <si>
    <t>X2 Air</t>
  </si>
  <si>
    <t>Modi Max</t>
  </si>
  <si>
    <t>Hestia 1.0</t>
  </si>
  <si>
    <t>Alto PUK</t>
  </si>
  <si>
    <t>Echo</t>
  </si>
  <si>
    <t>ePod 1</t>
  </si>
  <si>
    <t>ePod 2</t>
  </si>
  <si>
    <t>ePod 2+</t>
  </si>
  <si>
    <t>ePod 3</t>
  </si>
  <si>
    <t>ePod 3+</t>
  </si>
  <si>
    <t>ePod2 Catridges</t>
  </si>
  <si>
    <t>ePod2 device(Wave1)</t>
  </si>
  <si>
    <t>ePod2+ device</t>
  </si>
  <si>
    <t>ePod 3 Device</t>
  </si>
  <si>
    <t>ePod 3 descope</t>
  </si>
  <si>
    <t>ePod 3+ Device</t>
  </si>
  <si>
    <t>KUMA E-Box NZ</t>
  </si>
  <si>
    <t>US Aquila</t>
  </si>
  <si>
    <t>MIMOSA 1.0</t>
  </si>
  <si>
    <t>MIMOSA 1.0 US</t>
  </si>
  <si>
    <t>HESTIA XL US (Smart) 2ml / 2.4ml</t>
  </si>
  <si>
    <t>HESTIA 1.1 (non smart)</t>
  </si>
  <si>
    <t>HESTIA 1.1 (smart)</t>
  </si>
  <si>
    <t>KUMA-E 2.0 Pen</t>
  </si>
  <si>
    <t>KUMA-E 2.0 BOX</t>
  </si>
  <si>
    <t>ePod4+ (Pre-POP Study)</t>
  </si>
  <si>
    <t>HESTIA MAX (smart)</t>
  </si>
  <si>
    <t>KUMA MAX</t>
  </si>
  <si>
    <t>MIMOSA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</si>
</sst>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(&quot;$&quot;* #,##0_);_(&quot;$&quot;* \(#,##0\);_(&quot;$&quot;* &quot;-&quot;_);_(@_)"/>
    <numFmt numFmtId="164" formatCode="_ * #,##0.00_ ;_ * \-#,##0.00_ ;_ * &quot;-&quot;??_ ;_ @_ "/>
    <numFmt numFmtId="165" formatCode="_-* #,##0.00_-;\-* #,##0.00_-;_-* &quot;-&quot;??_-;_-@_-"/>
    <numFmt numFmtId="166" formatCode="[$-409]mmmm\ d\,\ yyyy;@"/>
    <numFmt numFmtId="167" formatCode="[$$-409]#,##0.0000000"/>
    <numFmt numFmtId="168" formatCode="_ [$¥-804]* #,##0_ ;_ [$¥-804]* \-#,##0_ ;_ [$¥-804]* &quot;-&quot;??_ ;_ @_ "/>
    <numFmt numFmtId="169" formatCode="0_);[Red]\(0\)"/>
    <numFmt numFmtId="170" formatCode="_ [$¥-804]* #,##0.00_ ;_ [$¥-804]* \-#,##0.00_ ;_ [$¥-804]* &quot;-&quot;??_ ;_ @_ "/>
    <numFmt numFmtId="171" formatCode="_ [$¥-804]* #,##0.0000_ ;_ [$¥-804]* \-#,##0.0000_ ;_ [$¥-804]* &quot;-&quot;??_ ;_ @_ "/>
    <numFmt numFmtId="172" formatCode="_-* #,##0_-;\-* #,##0_-;_-* &quot;-&quot;??_-;_-@_-"/>
    <numFmt numFmtId="173" formatCode="_ [$¥-804]* #,##0.0000_ ;_ [$¥-804]* \-#,##0.0000_ ;_ [$¥-804]* &quot;-&quot;????_ ;_ @_ "/>
    <numFmt numFmtId="174" formatCode="_ [$¥-804]* #,##0_ ;_ [$¥-804]* \-#,##0_ ;_ [$¥-804]* &quot;-&quot;_ ;_ @_ "/>
    <numFmt numFmtId="175" formatCode="0.0000"/>
  </numFmts>
  <fonts count="15">
    <font>
      <sz val="11"/>
      <color theme="1"/>
      <name val="Calibri"/>
      <charset val="134"/>
      <scheme val="minor"/>
    </font>
    <font>
      <sz val="10"/>
      <color theme="1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宋体"/>
      <charset val="134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宋体"/>
    </font>
    <font>
      <sz val="10"/>
      <color rgb="FF000000"/>
      <name val="Calibri"/>
      <family val="2"/>
    </font>
    <font>
      <sz val="10"/>
      <color rgb="FF000000"/>
      <name val="宋体"/>
      <charset val="134"/>
    </font>
    <font>
      <sz val="9"/>
      <color rgb="FF000000"/>
      <name val="Calibri"/>
      <family val="2"/>
    </font>
    <font>
      <b/>
      <sz val="11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8" fillId="0" borderId="0"/>
    <xf numFmtId="165" fontId="9" fillId="0" borderId="0" applyFont="0" applyFill="0" applyBorder="0" applyAlignment="0" applyProtection="0"/>
    <xf numFmtId="167" fontId="9" fillId="0" borderId="0"/>
    <xf numFmtId="167" fontId="9" fillId="0" borderId="0"/>
    <xf numFmtId="0" fontId="9" fillId="0" borderId="0"/>
  </cellStyleXfs>
  <cellXfs count="149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Protection="1">
      <protection locked="0"/>
    </xf>
    <xf numFmtId="14" fontId="0" fillId="2" borderId="0" xfId="0" applyNumberFormat="1" applyFill="1" applyProtection="1">
      <protection locked="0"/>
    </xf>
    <xf numFmtId="1" fontId="0" fillId="2" borderId="0" xfId="0" applyNumberFormat="1" applyFill="1" applyProtection="1">
      <protection locked="0"/>
    </xf>
    <xf numFmtId="3" fontId="0" fillId="2" borderId="0" xfId="0" applyNumberFormat="1" applyFill="1" applyProtection="1">
      <protection locked="0"/>
    </xf>
    <xf numFmtId="168" fontId="0" fillId="2" borderId="0" xfId="0" applyNumberFormat="1" applyFill="1"/>
    <xf numFmtId="0" fontId="0" fillId="2" borderId="0" xfId="0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3" fillId="0" borderId="0" xfId="0" applyFont="1"/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14" fontId="0" fillId="2" borderId="0" xfId="0" applyNumberFormat="1" applyFill="1"/>
    <xf numFmtId="1" fontId="0" fillId="2" borderId="0" xfId="0" applyNumberFormat="1" applyFill="1"/>
    <xf numFmtId="3" fontId="0" fillId="2" borderId="0" xfId="0" applyNumberFormat="1" applyFill="1"/>
    <xf numFmtId="14" fontId="3" fillId="4" borderId="1" xfId="0" applyNumberFormat="1" applyFont="1" applyFill="1" applyBorder="1" applyAlignment="1" applyProtection="1">
      <alignment horizontal="center" vertical="center"/>
      <protection hidden="1"/>
    </xf>
    <xf numFmtId="1" fontId="3" fillId="4" borderId="1" xfId="0" applyNumberFormat="1" applyFont="1" applyFill="1" applyBorder="1" applyAlignment="1" applyProtection="1">
      <alignment horizontal="center" vertical="center"/>
      <protection hidden="1"/>
    </xf>
    <xf numFmtId="3" fontId="3" fillId="4" borderId="1" xfId="0" applyNumberFormat="1" applyFont="1" applyFill="1" applyBorder="1" applyAlignment="1" applyProtection="1">
      <alignment horizontal="center" vertical="center"/>
      <protection hidden="1"/>
    </xf>
    <xf numFmtId="168" fontId="3" fillId="5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4" fontId="5" fillId="0" borderId="1" xfId="5" applyNumberFormat="1" applyFont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8" fontId="5" fillId="0" borderId="1" xfId="5" applyNumberFormat="1" applyFont="1" applyBorder="1" applyAlignment="1">
      <alignment horizontal="center" vertical="center"/>
    </xf>
    <xf numFmtId="169" fontId="1" fillId="0" borderId="1" xfId="6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70" fontId="1" fillId="6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171" fontId="0" fillId="2" borderId="0" xfId="0" applyNumberFormat="1" applyFill="1" applyProtection="1">
      <protection locked="0"/>
    </xf>
    <xf numFmtId="172" fontId="0" fillId="2" borderId="0" xfId="1" applyNumberFormat="1" applyFont="1" applyFill="1" applyProtection="1">
      <protection locked="0"/>
    </xf>
    <xf numFmtId="168" fontId="0" fillId="2" borderId="0" xfId="0" applyNumberFormat="1" applyFill="1" applyProtection="1">
      <protection locked="0"/>
    </xf>
    <xf numFmtId="170" fontId="0" fillId="2" borderId="0" xfId="0" applyNumberFormat="1" applyFill="1" applyProtection="1">
      <protection locked="0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 applyProtection="1">
      <alignment horizontal="center" vertical="center"/>
      <protection locked="0"/>
    </xf>
    <xf numFmtId="169" fontId="0" fillId="4" borderId="0" xfId="0" applyNumberFormat="1" applyFill="1" applyAlignment="1" applyProtection="1">
      <alignment horizontal="center" vertical="center"/>
      <protection locked="0"/>
    </xf>
    <xf numFmtId="171" fontId="0" fillId="4" borderId="0" xfId="0" applyNumberForma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2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4" fontId="5" fillId="0" borderId="1" xfId="5" applyNumberFormat="1" applyFont="1" applyBorder="1" applyAlignment="1" applyProtection="1">
      <alignment horizontal="center" vertical="center"/>
      <protection locked="0"/>
    </xf>
    <xf numFmtId="167" fontId="1" fillId="0" borderId="1" xfId="0" applyNumberFormat="1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/>
    </xf>
    <xf numFmtId="167" fontId="1" fillId="2" borderId="1" xfId="0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 vertical="center"/>
      <protection hidden="1"/>
    </xf>
    <xf numFmtId="171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171" fontId="3" fillId="4" borderId="1" xfId="0" applyNumberFormat="1" applyFont="1" applyFill="1" applyBorder="1" applyAlignment="1" applyProtection="1">
      <alignment horizontal="center" vertical="center" wrapText="1"/>
      <protection hidden="1"/>
    </xf>
    <xf numFmtId="9" fontId="1" fillId="2" borderId="1" xfId="0" applyNumberFormat="1" applyFont="1" applyFill="1" applyBorder="1" applyAlignment="1" applyProtection="1">
      <alignment horizontal="center" vertical="center"/>
      <protection locked="0"/>
    </xf>
    <xf numFmtId="171" fontId="1" fillId="0" borderId="1" xfId="0" applyNumberFormat="1" applyFont="1" applyBorder="1" applyAlignment="1" applyProtection="1">
      <alignment horizontal="center" vertical="center"/>
      <protection locked="0"/>
    </xf>
    <xf numFmtId="171" fontId="1" fillId="2" borderId="1" xfId="0" applyNumberFormat="1" applyFont="1" applyFill="1" applyBorder="1" applyAlignment="1" applyProtection="1">
      <alignment horizontal="center" vertical="center"/>
      <protection locked="0"/>
    </xf>
    <xf numFmtId="9" fontId="1" fillId="2" borderId="1" xfId="0" applyNumberFormat="1" applyFont="1" applyFill="1" applyBorder="1" applyAlignment="1" applyProtection="1">
      <alignment horizontal="center"/>
      <protection locked="0"/>
    </xf>
    <xf numFmtId="172" fontId="3" fillId="5" borderId="1" xfId="1" applyNumberFormat="1" applyFont="1" applyFill="1" applyBorder="1" applyAlignment="1" applyProtection="1">
      <alignment horizontal="center" vertical="center" wrapText="1"/>
      <protection locked="0"/>
    </xf>
    <xf numFmtId="168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172" fontId="1" fillId="0" borderId="1" xfId="1" applyNumberFormat="1" applyFont="1" applyFill="1" applyBorder="1" applyAlignment="1" applyProtection="1">
      <alignment horizontal="center" vertical="center"/>
      <protection locked="0"/>
    </xf>
    <xf numFmtId="168" fontId="1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1" xfId="1" applyFont="1" applyFill="1" applyBorder="1" applyAlignment="1" applyProtection="1">
      <alignment horizontal="center" vertical="center"/>
      <protection locked="0"/>
    </xf>
    <xf numFmtId="170" fontId="1" fillId="0" borderId="1" xfId="1" applyNumberFormat="1" applyFont="1" applyFill="1" applyBorder="1" applyAlignment="1" applyProtection="1">
      <alignment horizontal="center" vertical="center"/>
      <protection locked="0"/>
    </xf>
    <xf numFmtId="172" fontId="1" fillId="2" borderId="1" xfId="1" applyNumberFormat="1" applyFont="1" applyFill="1" applyBorder="1" applyAlignment="1" applyProtection="1">
      <alignment horizontal="center" vertical="center"/>
      <protection locked="0"/>
    </xf>
    <xf numFmtId="168" fontId="1" fillId="2" borderId="1" xfId="0" applyNumberFormat="1" applyFont="1" applyFill="1" applyBorder="1" applyAlignment="1" applyProtection="1">
      <alignment horizontal="center" vertical="center"/>
      <protection locked="0"/>
    </xf>
    <xf numFmtId="165" fontId="1" fillId="2" borderId="1" xfId="1" applyFont="1" applyFill="1" applyBorder="1" applyAlignment="1" applyProtection="1">
      <alignment horizontal="center" vertical="center"/>
      <protection locked="0"/>
    </xf>
    <xf numFmtId="170" fontId="1" fillId="2" borderId="1" xfId="1" applyNumberFormat="1" applyFont="1" applyFill="1" applyBorder="1" applyAlignment="1" applyProtection="1">
      <alignment horizontal="center" vertical="center"/>
      <protection locked="0"/>
    </xf>
    <xf numFmtId="170" fontId="1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170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42" fontId="1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quotePrefix="1" applyFont="1" applyBorder="1" applyAlignment="1" applyProtection="1">
      <alignment horizontal="center" vertical="center"/>
      <protection locked="0"/>
    </xf>
    <xf numFmtId="0" fontId="1" fillId="2" borderId="1" xfId="0" quotePrefix="1" applyFont="1" applyFill="1" applyBorder="1" applyAlignment="1" applyProtection="1">
      <alignment horizontal="center" vertical="center"/>
      <protection locked="0"/>
    </xf>
    <xf numFmtId="0" fontId="1" fillId="2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73" fontId="1" fillId="2" borderId="1" xfId="0" applyNumberFormat="1" applyFont="1" applyFill="1" applyBorder="1" applyAlignment="1" applyProtection="1">
      <alignment horizontal="center" vertical="center"/>
      <protection locked="0"/>
    </xf>
    <xf numFmtId="174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 applyProtection="1">
      <alignment vertical="center" wrapText="1"/>
      <protection locked="0"/>
    </xf>
    <xf numFmtId="0" fontId="1" fillId="0" borderId="1" xfId="0" quotePrefix="1" applyFont="1" applyBorder="1" applyAlignment="1">
      <alignment horizontal="center" vertical="center" wrapText="1"/>
    </xf>
    <xf numFmtId="37" fontId="0" fillId="2" borderId="0" xfId="0" applyNumberFormat="1" applyFill="1" applyProtection="1">
      <protection locked="0"/>
    </xf>
    <xf numFmtId="37" fontId="3" fillId="7" borderId="1" xfId="0" applyNumberFormat="1" applyFont="1" applyFill="1" applyBorder="1" applyAlignment="1" applyProtection="1">
      <alignment horizontal="center" vertical="center" wrapText="1"/>
      <protection hidden="1"/>
    </xf>
    <xf numFmtId="37" fontId="1" fillId="2" borderId="1" xfId="0" applyNumberFormat="1" applyFont="1" applyFill="1" applyBorder="1" applyAlignment="1" applyProtection="1">
      <alignment horizontal="center" vertical="center"/>
      <protection locked="0"/>
    </xf>
    <xf numFmtId="37" fontId="1" fillId="2" borderId="0" xfId="0" applyNumberFormat="1" applyFont="1" applyFill="1" applyAlignment="1" applyProtection="1">
      <alignment horizontal="center" vertical="center"/>
      <protection locked="0"/>
    </xf>
    <xf numFmtId="175" fontId="0" fillId="2" borderId="0" xfId="0" applyNumberFormat="1" applyFill="1" applyProtection="1">
      <protection locked="0"/>
    </xf>
    <xf numFmtId="175" fontId="3" fillId="7" borderId="1" xfId="0" applyNumberFormat="1" applyFont="1" applyFill="1" applyBorder="1" applyAlignment="1" applyProtection="1">
      <alignment horizontal="center" vertical="center" wrapText="1"/>
      <protection hidden="1"/>
    </xf>
    <xf numFmtId="175" fontId="1" fillId="2" borderId="1" xfId="0" applyNumberFormat="1" applyFont="1" applyFill="1" applyBorder="1" applyAlignment="1" applyProtection="1">
      <alignment horizontal="center" vertical="center"/>
      <protection locked="0"/>
    </xf>
    <xf numFmtId="175" fontId="1" fillId="2" borderId="0" xfId="0" applyNumberFormat="1" applyFont="1" applyFill="1" applyAlignment="1" applyProtection="1">
      <alignment horizontal="center" vertical="center"/>
      <protection locked="0"/>
    </xf>
    <xf numFmtId="169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" fillId="7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168" fontId="5" fillId="6" borderId="1" xfId="5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/>
    <xf numFmtId="0" fontId="13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168" fontId="1" fillId="4" borderId="1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left"/>
      <protection locked="0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168" fontId="0" fillId="0" borderId="1" xfId="0" applyNumberFormat="1" applyBorder="1"/>
    <xf numFmtId="171" fontId="1" fillId="6" borderId="1" xfId="0" applyNumberFormat="1" applyFont="1" applyFill="1" applyBorder="1" applyAlignment="1" applyProtection="1">
      <alignment horizontal="center" vertical="center"/>
      <protection locked="0"/>
    </xf>
    <xf numFmtId="168" fontId="0" fillId="2" borderId="0" xfId="0" applyNumberFormat="1" applyFill="1" applyAlignment="1" applyProtection="1">
      <alignment horizontal="right"/>
      <protection locked="0"/>
    </xf>
    <xf numFmtId="168" fontId="3" fillId="5" borderId="1" xfId="0" applyNumberFormat="1" applyFont="1" applyFill="1" applyBorder="1" applyAlignment="1" applyProtection="1">
      <alignment horizontal="right" vertical="center" wrapText="1"/>
      <protection locked="0"/>
    </xf>
    <xf numFmtId="168" fontId="1" fillId="0" borderId="1" xfId="0" applyNumberFormat="1" applyFont="1" applyBorder="1" applyAlignment="1" applyProtection="1">
      <alignment horizontal="right" vertical="center"/>
      <protection locked="0"/>
    </xf>
    <xf numFmtId="168" fontId="1" fillId="2" borderId="1" xfId="0" applyNumberFormat="1" applyFont="1" applyFill="1" applyBorder="1" applyAlignment="1" applyProtection="1">
      <alignment horizontal="right" vertical="center"/>
      <protection locked="0"/>
    </xf>
    <xf numFmtId="174" fontId="1" fillId="2" borderId="1" xfId="0" applyNumberFormat="1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left"/>
    </xf>
    <xf numFmtId="165" fontId="0" fillId="0" borderId="0" xfId="0" applyNumberFormat="1"/>
    <xf numFmtId="172" fontId="0" fillId="0" borderId="0" xfId="0" applyNumberFormat="1"/>
    <xf numFmtId="172" fontId="0" fillId="2" borderId="0" xfId="1" applyNumberFormat="1" applyFont="1" applyFill="1" applyAlignment="1" applyProtection="1">
      <alignment horizontal="left"/>
      <protection locked="0"/>
    </xf>
    <xf numFmtId="172" fontId="3" fillId="5" borderId="1" xfId="1" applyNumberFormat="1" applyFont="1" applyFill="1" applyBorder="1" applyAlignment="1" applyProtection="1">
      <alignment horizontal="left" vertical="center" wrapText="1"/>
      <protection locked="0"/>
    </xf>
    <xf numFmtId="172" fontId="1" fillId="0" borderId="1" xfId="1" applyNumberFormat="1" applyFont="1" applyFill="1" applyBorder="1" applyAlignment="1" applyProtection="1">
      <alignment horizontal="left" vertical="center"/>
      <protection locked="0"/>
    </xf>
    <xf numFmtId="172" fontId="1" fillId="2" borderId="1" xfId="1" applyNumberFormat="1" applyFont="1" applyFill="1" applyBorder="1" applyAlignment="1" applyProtection="1">
      <alignment horizontal="left" vertical="center"/>
      <protection locked="0"/>
    </xf>
    <xf numFmtId="14" fontId="0" fillId="0" borderId="0" xfId="0" applyNumberFormat="1"/>
    <xf numFmtId="0" fontId="14" fillId="0" borderId="0" xfId="0" applyFont="1"/>
    <xf numFmtId="0" fontId="3" fillId="10" borderId="1" xfId="0" applyFont="1" applyFill="1" applyBorder="1" applyAlignment="1" applyProtection="1">
      <alignment horizontal="center" vertical="center" wrapText="1"/>
      <protection hidden="1"/>
    </xf>
    <xf numFmtId="0" fontId="11" fillId="11" borderId="2" xfId="0" applyFont="1" applyFill="1" applyBorder="1"/>
  </cellXfs>
  <cellStyles count="8">
    <cellStyle name="Comma" xfId="1" builtinId="3"/>
    <cellStyle name="Comma 2" xfId="2" xr:uid="{00000000-0005-0000-0000-000031000000}"/>
    <cellStyle name="Normal" xfId="0" builtinId="0"/>
    <cellStyle name="Normal 3" xfId="3" xr:uid="{00000000-0005-0000-0000-000032000000}"/>
    <cellStyle name="千位分隔 2" xfId="4" xr:uid="{00000000-0005-0000-0000-000033000000}"/>
    <cellStyle name="常规 3" xfId="5" xr:uid="{00000000-0005-0000-0000-000034000000}"/>
    <cellStyle name="常规 3 2" xfId="6" xr:uid="{00000000-0005-0000-0000-000035000000}"/>
    <cellStyle name="常规 3 2 2" xfId="7" xr:uid="{00000000-0005-0000-0000-000036000000}"/>
  </cellStyles>
  <dxfs count="10">
    <dxf>
      <numFmt numFmtId="19" formatCode="m/d/yyyy"/>
    </dxf>
    <dxf>
      <numFmt numFmtId="19" formatCode="m/d/yyyy"/>
    </dxf>
    <dxf>
      <numFmt numFmtId="168" formatCode="_ [$¥-804]* #,##0_ ;_ [$¥-804]* \-#,##0_ ;_ [$¥-804]* &quot;-&quot;??_ ;_ @_ "/>
    </dxf>
    <dxf>
      <numFmt numFmtId="168" formatCode="_ [$¥-804]* #,##0_ ;_ [$¥-804]* \-#,##0_ ;_ [$¥-804]* &quot;-&quot;??_ ;_ @_ "/>
    </dxf>
    <dxf>
      <numFmt numFmtId="168" formatCode="_ [$¥-804]* #,##0_ ;_ [$¥-804]* \-#,##0_ ;_ [$¥-804]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.00_-;\-* #,##0.00_-;_-* &quot;-&quot;??_-;_-@_-"/>
    </dxf>
    <dxf>
      <numFmt numFmtId="172" formatCode="_-* #,##0_-;\-* #,##0_-;_-* &quot;-&quot;??_-;_-@_-"/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5</xdr:col>
      <xdr:colOff>529636</xdr:colOff>
      <xdr:row>3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13D056-D2C7-FBC0-C4FC-654D46435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9050" y="0"/>
          <a:ext cx="2358436" cy="577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162983</xdr:colOff>
      <xdr:row>5</xdr:row>
      <xdr:rowOff>50800</xdr:rowOff>
    </xdr:from>
    <xdr:to>
      <xdr:col>26</xdr:col>
      <xdr:colOff>535297</xdr:colOff>
      <xdr:row>6</xdr:row>
      <xdr:rowOff>29565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798D303-1ED5-B5E6-F78E-030BAFAC9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00108" y="1151467"/>
          <a:ext cx="1589397" cy="605366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38</xdr:row>
      <xdr:rowOff>95250</xdr:rowOff>
    </xdr:from>
    <xdr:to>
      <xdr:col>26</xdr:col>
      <xdr:colOff>428625</xdr:colOff>
      <xdr:row>44</xdr:row>
      <xdr:rowOff>438150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3A9C45F-2BCA-4763-EFE4-D45B13594400}"/>
            </a:ext>
            <a:ext uri="{147F2762-F138-4A5C-976F-8EAC2B608ADB}">
              <a16:predDERef xmlns:a16="http://schemas.microsoft.com/office/drawing/2014/main" pred="{7798D303-1ED5-B5E6-F78E-030BAFAC9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37275" y="21926550"/>
          <a:ext cx="1543050" cy="1066800"/>
        </a:xfrm>
        <a:prstGeom prst="rect">
          <a:avLst/>
        </a:prstGeom>
      </xdr:spPr>
    </xdr:pic>
    <xdr:clientData/>
  </xdr:twoCellAnchor>
  <xdr:twoCellAnchor editAs="oneCell">
    <xdr:from>
      <xdr:col>24</xdr:col>
      <xdr:colOff>95250</xdr:colOff>
      <xdr:row>36</xdr:row>
      <xdr:rowOff>152400</xdr:rowOff>
    </xdr:from>
    <xdr:to>
      <xdr:col>26</xdr:col>
      <xdr:colOff>304800</xdr:colOff>
      <xdr:row>36</xdr:row>
      <xdr:rowOff>514350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30B4C7C-DECF-4125-ADB9-963480C3D31C}"/>
            </a:ext>
            <a:ext uri="{147F2762-F138-4A5C-976F-8EAC2B608ADB}">
              <a16:predDERef xmlns:a16="http://schemas.microsoft.com/office/drawing/2014/main" pred="{33A9C45F-2BCA-4763-EFE4-D45B13594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13450" y="20726400"/>
          <a:ext cx="1543050" cy="361950"/>
        </a:xfrm>
        <a:prstGeom prst="rect">
          <a:avLst/>
        </a:prstGeom>
      </xdr:spPr>
    </xdr:pic>
    <xdr:clientData/>
  </xdr:twoCellAnchor>
  <xdr:twoCellAnchor editAs="oneCell">
    <xdr:from>
      <xdr:col>24</xdr:col>
      <xdr:colOff>114300</xdr:colOff>
      <xdr:row>37</xdr:row>
      <xdr:rowOff>38100</xdr:rowOff>
    </xdr:from>
    <xdr:to>
      <xdr:col>28</xdr:col>
      <xdr:colOff>95249</xdr:colOff>
      <xdr:row>43</xdr:row>
      <xdr:rowOff>447675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D5BC50C-863C-4B0B-812E-DCCDF0D042D8}"/>
            </a:ext>
            <a:ext uri="{147F2762-F138-4A5C-976F-8EAC2B608ADB}">
              <a16:predDERef xmlns:a16="http://schemas.microsoft.com/office/drawing/2014/main" pred="{130B4C7C-DECF-4125-ADB9-963480C3D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32500" y="21240750"/>
          <a:ext cx="2647950" cy="447675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76200</xdr:colOff>
      <xdr:row>49</xdr:row>
      <xdr:rowOff>123825</xdr:rowOff>
    </xdr:from>
    <xdr:to>
      <xdr:col>34</xdr:col>
      <xdr:colOff>133350</xdr:colOff>
      <xdr:row>54</xdr:row>
      <xdr:rowOff>22224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DDFB75E-CB11-2764-BBE7-C2644AAAA728}"/>
            </a:ext>
            <a:ext uri="{147F2762-F138-4A5C-976F-8EAC2B608ADB}">
              <a16:predDERef xmlns:a16="http://schemas.microsoft.com/office/drawing/2014/main" pred="{9D5BC50C-863C-4B0B-812E-DCCDF0D04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94400" y="28870275"/>
          <a:ext cx="6724650" cy="2990850"/>
        </a:xfrm>
        <a:prstGeom prst="rect">
          <a:avLst/>
        </a:prstGeom>
      </xdr:spPr>
    </xdr:pic>
    <xdr:clientData/>
  </xdr:twoCellAnchor>
  <xdr:twoCellAnchor editAs="oneCell">
    <xdr:from>
      <xdr:col>24</xdr:col>
      <xdr:colOff>390525</xdr:colOff>
      <xdr:row>54</xdr:row>
      <xdr:rowOff>0</xdr:rowOff>
    </xdr:from>
    <xdr:to>
      <xdr:col>30</xdr:col>
      <xdr:colOff>1587</xdr:colOff>
      <xdr:row>54</xdr:row>
      <xdr:rowOff>561975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BC6ACC6E-4BB2-6B3E-1BC4-D07856B39D42}"/>
            </a:ext>
            <a:ext uri="{147F2762-F138-4A5C-976F-8EAC2B608ADB}">
              <a16:predDERef xmlns:a16="http://schemas.microsoft.com/office/drawing/2014/main" pred="{3DDFB75E-CB11-2764-BBE7-C2644AAA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08725" y="31889700"/>
          <a:ext cx="3524250" cy="55245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180975</xdr:colOff>
      <xdr:row>57</xdr:row>
      <xdr:rowOff>0</xdr:rowOff>
    </xdr:from>
    <xdr:to>
      <xdr:col>27</xdr:col>
      <xdr:colOff>552451</xdr:colOff>
      <xdr:row>59</xdr:row>
      <xdr:rowOff>66676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8C395F7-ED32-A411-B30C-1588E5270886}"/>
            </a:ext>
            <a:ext uri="{147F2762-F138-4A5C-976F-8EAC2B608ADB}">
              <a16:predDERef xmlns:a16="http://schemas.microsoft.com/office/drawing/2014/main" pred="{BC6ACC6E-4BB2-6B3E-1BC4-D07856B39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499175" y="33775650"/>
          <a:ext cx="2371725" cy="6858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57</xdr:row>
      <xdr:rowOff>590550</xdr:rowOff>
    </xdr:from>
    <xdr:to>
      <xdr:col>29</xdr:col>
      <xdr:colOff>304800</xdr:colOff>
      <xdr:row>59</xdr:row>
      <xdr:rowOff>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8A464FCB-7C37-D023-6810-F6D3A258F839}"/>
            </a:ext>
            <a:ext uri="{147F2762-F138-4A5C-976F-8EAC2B608ADB}">
              <a16:predDERef xmlns:a16="http://schemas.microsoft.com/office/drawing/2014/main" pred="{28C395F7-ED32-A411-B30C-1588E5270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518225" y="34366200"/>
          <a:ext cx="3438525" cy="62865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95</xdr:row>
      <xdr:rowOff>0</xdr:rowOff>
    </xdr:from>
    <xdr:to>
      <xdr:col>40</xdr:col>
      <xdr:colOff>0</xdr:colOff>
      <xdr:row>144</xdr:row>
      <xdr:rowOff>50801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3EFC416-BB5F-9176-1229-91E63B3CB456}"/>
            </a:ext>
            <a:ext uri="{147F2762-F138-4A5C-976F-8EAC2B608ADB}">
              <a16:predDERef xmlns:a16="http://schemas.microsoft.com/office/drawing/2014/main" pred="{8A464FCB-7C37-D023-6810-F6D3A258F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318200" y="57664350"/>
          <a:ext cx="10629900" cy="1905000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54</xdr:row>
      <xdr:rowOff>619125</xdr:rowOff>
    </xdr:from>
    <xdr:to>
      <xdr:col>26</xdr:col>
      <xdr:colOff>352425</xdr:colOff>
      <xdr:row>58</xdr:row>
      <xdr:rowOff>517457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811B785-50E1-49D6-A5C4-1C2FFEC5C38B}"/>
            </a:ext>
            <a:ext uri="{147F2762-F138-4A5C-976F-8EAC2B608ADB}">
              <a16:predDERef xmlns:a16="http://schemas.microsoft.com/office/drawing/2014/main" pred="{D3EFC416-BB5F-9176-1229-91E63B3C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575375" y="32508825"/>
          <a:ext cx="1428750" cy="1133475"/>
        </a:xfrm>
        <a:prstGeom prst="rect">
          <a:avLst/>
        </a:prstGeom>
      </xdr:spPr>
    </xdr:pic>
    <xdr:clientData/>
  </xdr:twoCellAnchor>
  <xdr:twoCellAnchor editAs="oneCell">
    <xdr:from>
      <xdr:col>23</xdr:col>
      <xdr:colOff>149226</xdr:colOff>
      <xdr:row>101</xdr:row>
      <xdr:rowOff>583790</xdr:rowOff>
    </xdr:from>
    <xdr:to>
      <xdr:col>27</xdr:col>
      <xdr:colOff>465190</xdr:colOff>
      <xdr:row>176</xdr:row>
      <xdr:rowOff>158083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B8248DEA-F9C6-00D5-668D-77332C4822BF}"/>
            </a:ext>
            <a:ext uri="{147F2762-F138-4A5C-976F-8EAC2B608ADB}">
              <a16:predDERef xmlns:a16="http://schemas.microsoft.com/office/drawing/2014/main" pred="{B811B785-50E1-49D6-A5C4-1C2FFEC5C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441161" y="26874838"/>
          <a:ext cx="3183706" cy="433679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128</xdr:row>
      <xdr:rowOff>0</xdr:rowOff>
    </xdr:from>
    <xdr:to>
      <xdr:col>26</xdr:col>
      <xdr:colOff>389194</xdr:colOff>
      <xdr:row>142</xdr:row>
      <xdr:rowOff>31562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782B1E92-A189-4315-A43A-8FC02C08F8D0}"/>
            </a:ext>
            <a:ext uri="{147F2762-F138-4A5C-976F-8EAC2B608ADB}">
              <a16:predDERef xmlns:a16="http://schemas.microsoft.com/office/drawing/2014/main" pred="{B8248DEA-F9C6-00D5-668D-77332C482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930645" y="31913871"/>
          <a:ext cx="1003710" cy="656320"/>
        </a:xfrm>
        <a:prstGeom prst="rect">
          <a:avLst/>
        </a:prstGeom>
      </xdr:spPr>
    </xdr:pic>
    <xdr:clientData/>
  </xdr:twoCellAnchor>
  <xdr:twoCellAnchor editAs="oneCell">
    <xdr:from>
      <xdr:col>24</xdr:col>
      <xdr:colOff>156701</xdr:colOff>
      <xdr:row>141</xdr:row>
      <xdr:rowOff>447060</xdr:rowOff>
    </xdr:from>
    <xdr:to>
      <xdr:col>29</xdr:col>
      <xdr:colOff>337983</xdr:colOff>
      <xdr:row>144</xdr:row>
      <xdr:rowOff>71693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3C0675A-A9F3-188B-3D1D-4F660FC8DA43}"/>
            </a:ext>
            <a:ext uri="{147F2762-F138-4A5C-976F-8EAC2B608ADB}">
              <a16:predDERef xmlns:a16="http://schemas.microsoft.com/office/drawing/2014/main" pred="{782B1E92-A189-4315-A43A-8FC02C08F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472830" y="32985689"/>
          <a:ext cx="3253863" cy="1498907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6</xdr:row>
      <xdr:rowOff>104775</xdr:rowOff>
    </xdr:from>
    <xdr:to>
      <xdr:col>26</xdr:col>
      <xdr:colOff>514350</xdr:colOff>
      <xdr:row>17</xdr:row>
      <xdr:rowOff>171450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97861749-C363-F9C8-7FD9-B26CA726A32F}"/>
            </a:ext>
            <a:ext uri="{147F2762-F138-4A5C-976F-8EAC2B608ADB}">
              <a16:predDERef xmlns:a16="http://schemas.microsoft.com/office/drawing/2014/main" pred="{23C0675A-A9F3-188B-3D1D-4F660FC8D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527750" y="1819275"/>
          <a:ext cx="1638300" cy="695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bat-my.sharepoint.com\personal\85204634_bat_com\Documents\Project\Spend%20&amp;%20Capex%20tracker\Spend%20Tracker%20&amp;%20Capex%20Tracker%20template%2020241023%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nd Track (part)"/>
      <sheetName val="Capex tracker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Project</v>
          </cell>
          <cell r="B1" t="str">
            <v>Product category</v>
          </cell>
        </row>
        <row r="2">
          <cell r="A2" t="str">
            <v>Vega</v>
          </cell>
          <cell r="B2" t="str">
            <v>MODI</v>
          </cell>
        </row>
        <row r="3">
          <cell r="A3" t="str">
            <v>Box 8000 1.0</v>
          </cell>
          <cell r="B3" t="str">
            <v>MODI</v>
          </cell>
        </row>
        <row r="4">
          <cell r="A4" t="str">
            <v>DP1500</v>
          </cell>
          <cell r="B4" t="str">
            <v>MODI</v>
          </cell>
        </row>
        <row r="5">
          <cell r="A5" t="str">
            <v>Pen 800 Default 2.0</v>
          </cell>
          <cell r="B5" t="str">
            <v>MODI</v>
          </cell>
        </row>
        <row r="6">
          <cell r="A6" t="str">
            <v>Pen 800 Full 2.0</v>
          </cell>
          <cell r="B6" t="str">
            <v>MODI</v>
          </cell>
        </row>
        <row r="7">
          <cell r="A7" t="str">
            <v>Box 800 Default 2.0</v>
          </cell>
          <cell r="B7" t="str">
            <v>MODI</v>
          </cell>
        </row>
        <row r="8">
          <cell r="A8" t="str">
            <v>Box 800 Full 2.0</v>
          </cell>
          <cell r="B8" t="str">
            <v>MODI</v>
          </cell>
        </row>
        <row r="9">
          <cell r="A9" t="str">
            <v>Box 3000 Full 2.0</v>
          </cell>
          <cell r="B9" t="str">
            <v>MODI</v>
          </cell>
        </row>
        <row r="10">
          <cell r="A10" t="str">
            <v>Box 5000 Full 2.0</v>
          </cell>
          <cell r="B10" t="str">
            <v>MODI</v>
          </cell>
        </row>
        <row r="11">
          <cell r="A11" t="str">
            <v>Sensa 5K</v>
          </cell>
          <cell r="B11" t="str">
            <v>MODI</v>
          </cell>
        </row>
        <row r="12">
          <cell r="A12" t="str">
            <v>Box 8000 Full 2.0</v>
          </cell>
          <cell r="B12" t="str">
            <v>MODI</v>
          </cell>
        </row>
        <row r="13">
          <cell r="A13" t="str">
            <v>Alto Pod</v>
          </cell>
          <cell r="B13" t="str">
            <v>RCS POD</v>
          </cell>
        </row>
        <row r="14">
          <cell r="A14" t="str">
            <v>ePod/epod2 cartridge</v>
          </cell>
          <cell r="B14" t="str">
            <v>RCS POD</v>
          </cell>
        </row>
        <row r="15">
          <cell r="A15" t="str">
            <v>Prismatic Pod</v>
          </cell>
          <cell r="B15" t="str">
            <v>RCS POD</v>
          </cell>
        </row>
        <row r="16">
          <cell r="A16" t="str">
            <v>X3</v>
          </cell>
          <cell r="B16" t="str">
            <v>HP</v>
          </cell>
        </row>
        <row r="17">
          <cell r="A17" t="str">
            <v>Hyper Pro</v>
          </cell>
          <cell r="B17" t="str">
            <v>HP</v>
          </cell>
        </row>
        <row r="18">
          <cell r="A18" t="str">
            <v>Hyper Pro 2P</v>
          </cell>
          <cell r="B18" t="str">
            <v>HP</v>
          </cell>
        </row>
        <row r="19">
          <cell r="A19" t="str">
            <v>Hyper Core</v>
          </cell>
          <cell r="B19" t="str">
            <v>HP</v>
          </cell>
        </row>
        <row r="20">
          <cell r="A20" t="str">
            <v>Artemis</v>
          </cell>
          <cell r="B20" t="str">
            <v>HP</v>
          </cell>
        </row>
        <row r="21">
          <cell r="A21" t="str">
            <v>Clyde</v>
          </cell>
          <cell r="B21" t="str">
            <v>HP</v>
          </cell>
        </row>
        <row r="22">
          <cell r="A22" t="str">
            <v>Bacchus</v>
          </cell>
          <cell r="B22" t="str">
            <v>HP</v>
          </cell>
        </row>
        <row r="23">
          <cell r="A23" t="str">
            <v>Adonis 1P</v>
          </cell>
          <cell r="B23" t="str">
            <v>HP</v>
          </cell>
        </row>
        <row r="24">
          <cell r="A24" t="str">
            <v>Adonis 2P</v>
          </cell>
          <cell r="B24" t="str">
            <v>HP</v>
          </cell>
        </row>
        <row r="25">
          <cell r="A25" t="str">
            <v>1K BOX ESG</v>
          </cell>
          <cell r="B25" t="str">
            <v>MODI</v>
          </cell>
        </row>
        <row r="26">
          <cell r="A26" t="str">
            <v>1K BOX SEMI</v>
          </cell>
          <cell r="B26" t="str">
            <v>MODI</v>
          </cell>
        </row>
        <row r="27">
          <cell r="A27" t="str">
            <v>HYPER BESPOKE</v>
          </cell>
          <cell r="B27" t="str">
            <v>HP</v>
          </cell>
        </row>
        <row r="28">
          <cell r="A28" t="str">
            <v>X2</v>
          </cell>
          <cell r="B28" t="str">
            <v>HP</v>
          </cell>
        </row>
        <row r="29">
          <cell r="A29" t="str">
            <v>X2 Air</v>
          </cell>
          <cell r="B29" t="str">
            <v>HP</v>
          </cell>
        </row>
        <row r="30">
          <cell r="A30" t="str">
            <v>Modi Max</v>
          </cell>
          <cell r="B30" t="str">
            <v>MODI</v>
          </cell>
        </row>
        <row r="31">
          <cell r="A31" t="str">
            <v>Hestia 1.0</v>
          </cell>
          <cell r="B31" t="str">
            <v>RCS POD</v>
          </cell>
        </row>
        <row r="32">
          <cell r="A32" t="str">
            <v>Alto PUK</v>
          </cell>
          <cell r="B32" t="str">
            <v>RCS POD</v>
          </cell>
        </row>
        <row r="33">
          <cell r="A33" t="str">
            <v>ePod 2</v>
          </cell>
          <cell r="B33" t="str">
            <v>RCS POD</v>
          </cell>
        </row>
        <row r="34">
          <cell r="A34" t="str">
            <v>ePod 3</v>
          </cell>
          <cell r="B34" t="str">
            <v>RCS POD</v>
          </cell>
        </row>
        <row r="35">
          <cell r="A35" t="str">
            <v>ePod 3+</v>
          </cell>
          <cell r="B35" t="str">
            <v>RCS DEVICE</v>
          </cell>
        </row>
        <row r="36">
          <cell r="A36" t="str">
            <v>KUMA E-Box NZ</v>
          </cell>
          <cell r="B36" t="str">
            <v>RCS DEVICE</v>
          </cell>
        </row>
        <row r="37">
          <cell r="A37" t="str">
            <v>KUMA E-Box ROW</v>
          </cell>
          <cell r="B37" t="str">
            <v>RCS DEVICE</v>
          </cell>
        </row>
        <row r="38">
          <cell r="A38" t="str">
            <v>KUMA E-Pen 1.0 ROW</v>
          </cell>
          <cell r="B38" t="str">
            <v>RCS DEVICE</v>
          </cell>
        </row>
        <row r="39">
          <cell r="A39" t="str">
            <v>US Aquila</v>
          </cell>
          <cell r="B39" t="str">
            <v>RCS DEVICE</v>
          </cell>
        </row>
        <row r="40">
          <cell r="A40" t="str">
            <v>MIMOSA 1.0</v>
          </cell>
          <cell r="B40" t="str">
            <v>RCS DEVICE</v>
          </cell>
        </row>
        <row r="41">
          <cell r="A41" t="str">
            <v>MIMOSA 1.0 US</v>
          </cell>
          <cell r="B41" t="str">
            <v>RCS DEVICE</v>
          </cell>
        </row>
        <row r="42">
          <cell r="A42" t="str">
            <v>HESTIA XL US (Smart) 2ml / 2.4ml</v>
          </cell>
          <cell r="B42" t="str">
            <v>RCS POD</v>
          </cell>
        </row>
        <row r="43">
          <cell r="A43" t="str">
            <v>HESTIA 1.1 (non smart)</v>
          </cell>
          <cell r="B43" t="str">
            <v>RCS POD</v>
          </cell>
        </row>
        <row r="44">
          <cell r="A44" t="str">
            <v>HESTIA 1.1 (smart)</v>
          </cell>
          <cell r="B44" t="str">
            <v>RCS POD</v>
          </cell>
        </row>
        <row r="45">
          <cell r="A45" t="str">
            <v>KUMA-E 2.0 Pen</v>
          </cell>
          <cell r="B45" t="str">
            <v>RCS DEVICE</v>
          </cell>
        </row>
        <row r="46">
          <cell r="A46" t="str">
            <v>KUMA-E 2.0 BOX</v>
          </cell>
          <cell r="B46" t="str">
            <v>RCS DEVICE</v>
          </cell>
        </row>
        <row r="47">
          <cell r="A47" t="str">
            <v>ePod4+ (Pre-POP Study)</v>
          </cell>
          <cell r="B47" t="str">
            <v>RCS DEVICE</v>
          </cell>
        </row>
        <row r="48">
          <cell r="A48" t="str">
            <v>HESTIA MAX (smart)</v>
          </cell>
          <cell r="B48" t="str">
            <v>RCS POD</v>
          </cell>
        </row>
        <row r="49">
          <cell r="A49" t="str">
            <v>HESTIA MAX (non smart)</v>
          </cell>
          <cell r="B49" t="str">
            <v>RCS POD</v>
          </cell>
        </row>
        <row r="50">
          <cell r="A50" t="str">
            <v>KUMA MAX</v>
          </cell>
          <cell r="B50" t="str">
            <v>RCS DEVICE</v>
          </cell>
        </row>
        <row r="51">
          <cell r="A51" t="str">
            <v>MIMOSA MAX</v>
          </cell>
          <cell r="B51" t="str">
            <v>RCS DEVICE</v>
          </cell>
        </row>
        <row r="52">
          <cell r="A52" t="str">
            <v>HESTIA 1.1 (smart)</v>
          </cell>
          <cell r="B52" t="str">
            <v>RCS POD</v>
          </cell>
        </row>
        <row r="53">
          <cell r="A53" t="str">
            <v>KUMA-E 2.0 Pen</v>
          </cell>
          <cell r="B53" t="str">
            <v>RCS DEVICE</v>
          </cell>
        </row>
        <row r="54">
          <cell r="A54" t="str">
            <v>KUMA-E 2.0 BOX</v>
          </cell>
          <cell r="B54" t="str">
            <v>RCS DEVICE</v>
          </cell>
        </row>
        <row r="55">
          <cell r="A55" t="str">
            <v>ePod4+ (Pre-POP Study)</v>
          </cell>
          <cell r="B55" t="str">
            <v>RCS DEVICE</v>
          </cell>
        </row>
        <row r="56">
          <cell r="A56" t="str">
            <v>HESTIA MAX (smart)</v>
          </cell>
          <cell r="B56" t="str">
            <v>RCS POD</v>
          </cell>
        </row>
        <row r="57">
          <cell r="A57" t="str">
            <v>HESTIA MAX (non smart)</v>
          </cell>
          <cell r="B57" t="str">
            <v>RCS POD</v>
          </cell>
        </row>
        <row r="58">
          <cell r="A58" t="str">
            <v>KUMA MAX</v>
          </cell>
          <cell r="B58" t="str">
            <v>RCS DEVICE</v>
          </cell>
        </row>
        <row r="59">
          <cell r="A59" t="str">
            <v>MIMOSA MAX</v>
          </cell>
          <cell r="B59" t="str">
            <v>RCS DEVICE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arlie Ma" id="{257C19C0-EE42-4AD1-843A-8CD762AC6CEE}" userId="S::85204634@bat.com::140d471d-47e3-45da-828c-9123639bb1f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ie Ma" refreshedDate="45677.828795601854" createdVersion="8" refreshedVersion="8" minRefreshableVersion="3" recordCount="141" xr:uid="{DC43BAD6-4D08-43F0-B762-8312A8066108}">
  <cacheSource type="worksheet">
    <worksheetSource ref="B5:W146" sheet="Capex tracker"/>
  </cacheSource>
  <cacheFields count="22">
    <cacheField name="Project" numFmtId="0">
      <sharedItems/>
    </cacheField>
    <cacheField name="Product Category" numFmtId="0">
      <sharedItems/>
    </cacheField>
    <cacheField name="Part Name" numFmtId="0">
      <sharedItems/>
    </cacheField>
    <cacheField name="Part No." numFmtId="0">
      <sharedItems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14">
      <sharedItems containsSemiMixedTypes="0" containsNonDate="0" containsDate="1" containsString="0" minDate="2024-11-01T00:00:00" maxDate="2025-01-08T00:00:00"/>
    </cacheField>
    <cacheField name="Cavity" numFmtId="1">
      <sharedItems containsMixedTypes="1" containsNumber="1" containsInteger="1" minValue="2" maxValue="32"/>
    </cacheField>
    <cacheField name="Tooling Capacity Per Month" numFmtId="3">
      <sharedItems containsString="0" containsBlank="1" containsNumber="1" containsInteger="1" minValue="209664" maxValue="3089786"/>
    </cacheField>
    <cacheField name="Total Capacity Per Month" numFmtId="3">
      <sharedItems containsSemiMixedTypes="0" containsString="0" containsNumber="1" containsInteger="1" minValue="0" maxValue="21628502"/>
    </cacheField>
    <cacheField name="Tooling life" numFmtId="3">
      <sharedItems containsSemiMixedTypes="0" containsString="0" containsNumber="1" containsInteger="1" minValue="500000" maxValue="1000000"/>
    </cacheField>
    <cacheField name="Tool type" numFmtId="0">
      <sharedItems count="4">
        <s v="Hard tool"/>
        <s v="Soft tool"/>
        <s v="Soft tool EC"/>
        <s v="Hard tool EC"/>
      </sharedItems>
    </cacheField>
    <cacheField name="Kick off date" numFmtId="14">
      <sharedItems containsSemiMixedTypes="0" containsNonDate="0" containsDate="1" containsString="0" minDate="2022-06-15T00:00:00" maxDate="2024-12-27T00:00:00"/>
    </cacheField>
    <cacheField name="Tool Unit cost" numFmtId="0">
      <sharedItems containsSemiMixedTypes="0" containsString="0" containsNumber="1" minValue="3097.3451327433631" maxValue="1401456.1143433638"/>
    </cacheField>
    <cacheField name="Q'ty" numFmtId="0">
      <sharedItems containsSemiMixedTypes="0" containsString="0" containsNumber="1" containsInteger="1" minValue="1" maxValue="17"/>
    </cacheField>
    <cacheField name="Total Tool cost" numFmtId="0">
      <sharedItems containsSemiMixedTypes="0" containsString="0" containsNumber="1" minValue="3097.3451327433631" maxValue="23824753.943837184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Yu (External)" refreshedDate="45748.610924537039" createdVersion="8" refreshedVersion="8" minRefreshableVersion="3" recordCount="355" xr:uid="{1131FC56-BC10-401C-B4EE-A91432FDA027}">
  <cacheSource type="worksheet">
    <worksheetSource ref="B3:AF358" sheet="Spend Track (part)"/>
  </cacheSource>
  <cacheFields count="31">
    <cacheField name="Project" numFmtId="0">
      <sharedItems count="6">
        <s v="KUMA E-Box ROW"/>
        <s v="Box 8000 Full 2.0"/>
        <s v="Box 5000 Full 2.0"/>
        <s v="Pen 800 Default 2.0"/>
        <s v="DP1500"/>
        <s v="Alto Pod "/>
      </sharedItems>
    </cacheField>
    <cacheField name="Product Category" numFmtId="0">
      <sharedItems/>
    </cacheField>
    <cacheField name="Part Name" numFmtId="0">
      <sharedItems/>
    </cacheField>
    <cacheField name="Part No." numFmtId="0">
      <sharedItems/>
    </cacheField>
    <cacheField name="Supplier " numFmtId="0">
      <sharedItems/>
    </cacheField>
    <cacheField name="Commonality" numFmtId="0">
      <sharedItems containsBlank="1"/>
    </cacheField>
    <cacheField name="Commodity" numFmtId="0">
      <sharedItems/>
    </cacheField>
    <cacheField name="Year" numFmtId="0">
      <sharedItems containsSemiMixedTypes="0" containsString="0" containsNumber="1" containsInteger="1" minValue="2023" maxValue="2025" count="3">
        <n v="2024"/>
        <n v="2023"/>
        <n v="2025"/>
      </sharedItems>
    </cacheField>
    <cacheField name="Month" numFmtId="0">
      <sharedItems containsSemiMixedTypes="0" containsString="0" containsNumber="1" containsInteger="1" minValue="1" maxValue="12" count="12">
        <n v="9"/>
        <n v="8"/>
        <n v="7"/>
        <n v="6"/>
        <n v="5"/>
        <n v="4"/>
        <n v="3"/>
        <n v="1"/>
        <n v="12"/>
        <n v="11"/>
        <n v="10"/>
        <n v="2"/>
      </sharedItems>
    </cacheField>
    <cacheField name="Data Submit Date" numFmtId="14">
      <sharedItems containsSemiMixedTypes="0" containsNonDate="0" containsDate="1" containsString="0" minDate="2024-11-01T00:00:00" maxDate="2025-03-07T00:00:00"/>
    </cacheField>
    <cacheField name="Split" numFmtId="9">
      <sharedItems containsNonDate="0" containsString="0" containsBlank="1"/>
    </cacheField>
    <cacheField name="Unit price w/o amortization" numFmtId="0">
      <sharedItems containsSemiMixedTypes="0" containsString="0" containsNumber="1" minValue="5.4300000000000001E-2" maxValue="2.85337"/>
    </cacheField>
    <cacheField name="Unit Price with Amortization" numFmtId="0">
      <sharedItems containsSemiMixedTypes="0" containsString="0" containsNumber="1" minValue="7.3050000000000004E-2" maxValue="2.8874949999999999"/>
    </cacheField>
    <cacheField name="Amortization Cost" numFmtId="0">
      <sharedItems containsSemiMixedTypes="0" containsString="0" containsNumber="1" minValue="1.40625E-2" maxValue="9.4380000000000006E-2"/>
    </cacheField>
    <cacheField name="Blended Amortization Cost" numFmtId="171">
      <sharedItems containsString="0" containsBlank="1" containsNumber="1" containsInteger="1" minValue="0" maxValue="0"/>
    </cacheField>
    <cacheField name="Usage in BOM" numFmtId="37">
      <sharedItems containsSemiMixedTypes="0" containsString="0" containsNumber="1" containsInteger="1" minValue="1" maxValue="1"/>
    </cacheField>
    <cacheField name="BOM cost" numFmtId="175">
      <sharedItems containsSemiMixedTypes="0" containsString="0" containsNumber="1" minValue="5.4300000000000001E-2" maxValue="2.85337"/>
    </cacheField>
    <cacheField name="Shipped Volume" numFmtId="172">
      <sharedItems containsSemiMixedTypes="0" containsString="0" containsNumber="1" containsInteger="1" minValue="0" maxValue="19500000"/>
    </cacheField>
    <cacheField name="Cum Shipped Volume" numFmtId="172">
      <sharedItems containsString="0" containsBlank="1" containsNumber="1" containsInteger="1" minValue="0" maxValue="353727089"/>
    </cacheField>
    <cacheField name="Total Capex Cost" numFmtId="0">
      <sharedItems containsString="0" containsBlank="1" containsNumber="1" minValue="219000" maxValue="23824753.943837203"/>
    </cacheField>
    <cacheField name="Remaining Capex Cost" numFmtId="0">
      <sharedItems containsString="0" containsBlank="1" containsNumber="1" minValue="-7500364.3000000007" maxValue="19093250.033781998"/>
    </cacheField>
    <cacheField name="Material Type" numFmtId="0">
      <sharedItems containsBlank="1"/>
    </cacheField>
    <cacheField name="Color" numFmtId="0">
      <sharedItems containsBlank="1" longText="1"/>
    </cacheField>
    <cacheField name="Material Usage/part (g)" numFmtId="165">
      <sharedItems containsString="0" containsBlank="1" containsNumber="1" minValue="0.31" maxValue="14.4"/>
    </cacheField>
    <cacheField name="Material Supplier" numFmtId="165">
      <sharedItems containsNonDate="0" containsString="0" containsBlank="1"/>
    </cacheField>
    <cacheField name="CMF Type" numFmtId="165">
      <sharedItems containsBlank="1"/>
    </cacheField>
    <cacheField name="CMF Cost/part" numFmtId="170">
      <sharedItems containsString="0" containsBlank="1" containsNumber="1" minValue="0.26550000000000001" maxValue="2.2845"/>
    </cacheField>
    <cacheField name="Total Spend" numFmtId="0">
      <sharedItems containsString="0" containsBlank="1" containsNumber="1" minValue="0" maxValue="6213452.1649200004"/>
    </cacheField>
    <cacheField name="Total CMF Cost" numFmtId="0">
      <sharedItems containsString="0" containsBlank="1" containsNumber="1" minValue="0" maxValue="1594551.3015000001"/>
    </cacheField>
    <cacheField name="Total Material Usage (kg)" numFmtId="172">
      <sharedItems containsString="0" containsBlank="1" containsNumber="1" minValue="0" maxValue="36036.505229999995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Yu (External)" refreshedDate="45748.61153159722" createdVersion="8" refreshedVersion="8" minRefreshableVersion="3" recordCount="140" xr:uid="{CA9CF0C3-DB41-4C45-B8D5-9A6872CF6A78}">
  <cacheSource type="worksheet">
    <worksheetSource ref="B5:X145" sheet="Capex tracker"/>
  </cacheSource>
  <cacheFields count="23">
    <cacheField name="Project" numFmtId="0">
      <sharedItems count="9">
        <s v="KUMA E-Box ROW"/>
        <s v="Box 8000 Full 2.0"/>
        <s v="Box 5000 Full 2.0"/>
        <s v="Pen 800 Default 2.0"/>
        <s v="DP1500"/>
        <s v="Alto Pod "/>
        <s v="HESTIA MAX (non smart)"/>
        <s v="Pen 800 Full 2.0"/>
        <s v="KUMA E-Pen 1.0 ROW"/>
      </sharedItems>
    </cacheField>
    <cacheField name="Product Category" numFmtId="0">
      <sharedItems/>
    </cacheField>
    <cacheField name="Part Name" numFmtId="0">
      <sharedItems/>
    </cacheField>
    <cacheField name="Part No." numFmtId="0">
      <sharedItems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14">
      <sharedItems containsSemiMixedTypes="0" containsNonDate="0" containsDate="1" containsString="0" minDate="2024-11-01T00:00:00" maxDate="2024-11-15T00:00:00"/>
    </cacheField>
    <cacheField name="Cavity" numFmtId="1">
      <sharedItems containsMixedTypes="1" containsNumber="1" containsInteger="1" minValue="2" maxValue="32"/>
    </cacheField>
    <cacheField name="Tooling Capacity Per Month" numFmtId="3">
      <sharedItems containsString="0" containsBlank="1" containsNumber="1" containsInteger="1" minValue="209664" maxValue="3089786"/>
    </cacheField>
    <cacheField name="Total Capacity Per Month" numFmtId="3">
      <sharedItems containsSemiMixedTypes="0" containsString="0" containsNumber="1" containsInteger="1" minValue="0" maxValue="21628502"/>
    </cacheField>
    <cacheField name="Tooling life" numFmtId="3">
      <sharedItems containsSemiMixedTypes="0" containsString="0" containsNumber="1" containsInteger="1" minValue="500000" maxValue="1000000"/>
    </cacheField>
    <cacheField name="Tool type" numFmtId="0">
      <sharedItems count="4">
        <s v="Hard tool"/>
        <s v="Soft tool"/>
        <s v="Soft tool EC"/>
        <s v="Hard tool EC"/>
      </sharedItems>
    </cacheField>
    <cacheField name="Kick off date" numFmtId="14">
      <sharedItems containsSemiMixedTypes="0" containsNonDate="0" containsDate="1" containsString="0" minDate="2022-06-15T00:00:00" maxDate="2024-10-29T00:00:00"/>
    </cacheField>
    <cacheField name="Tool Unit cost" numFmtId="0">
      <sharedItems containsSemiMixedTypes="0" containsString="0" containsNumber="1" minValue="3097.3451327433631" maxValue="1401456.1143433638"/>
    </cacheField>
    <cacheField name="Q'ty" numFmtId="0">
      <sharedItems containsSemiMixedTypes="0" containsString="0" containsNumber="1" containsInteger="1" minValue="1" maxValue="17"/>
    </cacheField>
    <cacheField name="Total Tool cost" numFmtId="0">
      <sharedItems containsSemiMixedTypes="0" containsString="0" containsNumber="1" minValue="3097.3451327433631" maxValue="23824753.943837184"/>
    </cacheField>
    <cacheField name="Requested by Whom" numFmtId="0">
      <sharedItems/>
    </cacheField>
    <cacheField name="Approval Status" numFmtId="0">
      <sharedItems/>
    </cacheField>
    <cacheField name="Payment Status" numFmtId="0">
      <sharedItems count="1">
        <s v="No"/>
      </sharedItems>
    </cacheField>
    <cacheField name="Remark" numFmtId="0">
      <sharedItems containsBlank="1"/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KUMA E-Box ROW"/>
    <s v="RCS DEVICE"/>
    <s v="Top cover"/>
    <s v="130040670013934"/>
    <s v="Dongguan Wellsun Plastic"/>
    <n v="2023"/>
    <n v="12"/>
    <s v="DP"/>
    <d v="2024-11-01T00:00:00"/>
    <n v="16"/>
    <n v="812968"/>
    <n v="812968"/>
    <n v="1000000"/>
    <x v="0"/>
    <d v="2023-12-23T00:00:00"/>
    <n v="650000"/>
    <n v="1"/>
    <n v="650000"/>
    <s v="Chris"/>
    <s v="Approved"/>
    <s v="No"/>
    <s v="16 cavities"/>
  </r>
  <r>
    <s v="KUMA E-Box ROW"/>
    <s v="RCS DEVICE"/>
    <s v="Top cover"/>
    <s v="130040670013934"/>
    <s v="Dongguan Wellsun Plastic"/>
    <n v="2024"/>
    <n v="4"/>
    <s v="DP"/>
    <d v="2024-11-01T00:00:00"/>
    <n v="8"/>
    <n v="406484"/>
    <n v="406484"/>
    <n v="1000000"/>
    <x v="0"/>
    <d v="2024-04-08T00:00:00"/>
    <n v="450000"/>
    <n v="1"/>
    <n v="450000"/>
    <s v="Chris"/>
    <s v="Approved"/>
    <s v="No"/>
    <s v="8 cavities"/>
  </r>
  <r>
    <s v="KUMA E-Box ROW"/>
    <s v="RCS DEVICE"/>
    <s v="Top cover"/>
    <s v="130040670013934"/>
    <s v="Dongguan Wellsun Plastic"/>
    <n v="2023"/>
    <n v="10"/>
    <s v="DP"/>
    <d v="2024-11-01T00:00:00"/>
    <n v="2"/>
    <m/>
    <n v="0"/>
    <n v="500000"/>
    <x v="1"/>
    <d v="2023-10-12T00:00:00"/>
    <n v="115044.24778761101"/>
    <n v="1"/>
    <n v="115044.24778761101"/>
    <s v="Chris"/>
    <s v="Approved"/>
    <s v="No"/>
    <m/>
  </r>
  <r>
    <s v="KUMA E-Box ROW"/>
    <s v="RCS DEVICE"/>
    <s v="Top cover"/>
    <s v="130040670013934"/>
    <s v="Dongguan Wellsun Plastic"/>
    <n v="2023"/>
    <n v="10"/>
    <s v="DP"/>
    <d v="2024-11-01T00:00:00"/>
    <n v="2"/>
    <m/>
    <n v="0"/>
    <n v="500000"/>
    <x v="1"/>
    <d v="2023-10-12T00:00:00"/>
    <n v="115044.24778761101"/>
    <n v="1"/>
    <n v="115044.24778761101"/>
    <s v="Chris"/>
    <s v="Approved"/>
    <s v="No"/>
    <m/>
  </r>
  <r>
    <s v="KUMA E-Box ROW"/>
    <s v="RCS DEVICE"/>
    <s v="Top cover"/>
    <s v="130040670013934"/>
    <s v="Dongguan Wellsun Plastic"/>
    <n v="2023"/>
    <n v="11"/>
    <s v="DP"/>
    <d v="2024-11-01T00:00:00"/>
    <n v="2"/>
    <m/>
    <n v="0"/>
    <n v="500000"/>
    <x v="2"/>
    <d v="2023-11-04T00:00:00"/>
    <n v="6548.6725663716825"/>
    <n v="1"/>
    <n v="6548.6725663716825"/>
    <s v="Chris"/>
    <s v="Approved"/>
    <s v="No"/>
    <m/>
  </r>
  <r>
    <s v="KUMA E-Box ROW"/>
    <s v="RCS DEVICE"/>
    <s v="Top cover"/>
    <s v="130040670013934"/>
    <s v="Dongguan Wellsun Plastic"/>
    <n v="2023"/>
    <n v="11"/>
    <s v="DP"/>
    <d v="2024-11-01T00:00:00"/>
    <n v="2"/>
    <m/>
    <n v="0"/>
    <n v="500000"/>
    <x v="2"/>
    <d v="2023-11-18T00:00:00"/>
    <n v="6283.1858407079653"/>
    <n v="1"/>
    <n v="6283.1858407079653"/>
    <s v="Chris"/>
    <s v="Approved"/>
    <s v="No"/>
    <m/>
  </r>
  <r>
    <s v="KUMA E-Box ROW"/>
    <s v="RCS DEVICE"/>
    <s v="Top cover"/>
    <s v="130040670013934"/>
    <s v="Dongguan Wellsun Plastic"/>
    <n v="2024"/>
    <n v="2"/>
    <s v="DP"/>
    <d v="2024-11-01T00:00:00"/>
    <n v="2"/>
    <m/>
    <n v="0"/>
    <n v="500000"/>
    <x v="2"/>
    <d v="2024-02-26T00:00:00"/>
    <n v="41415.929203539825"/>
    <n v="1"/>
    <n v="41415.929203539825"/>
    <s v="Chris"/>
    <s v="Approved"/>
    <s v="No"/>
    <m/>
  </r>
  <r>
    <s v="KUMA E-Box ROW"/>
    <s v="RCS DEVICE"/>
    <s v="Top cover"/>
    <s v="130040670013934"/>
    <s v="Dongguan Wellsun Plastic"/>
    <n v="2024"/>
    <n v="3"/>
    <s v="DP"/>
    <d v="2024-11-01T00:00:00"/>
    <n v="2"/>
    <m/>
    <n v="0"/>
    <n v="500000"/>
    <x v="2"/>
    <d v="2024-03-28T00:00:00"/>
    <n v="42477.876106194693"/>
    <n v="1"/>
    <n v="42477.876106194693"/>
    <s v="Chris"/>
    <s v="Approved"/>
    <s v="No"/>
    <m/>
  </r>
  <r>
    <s v="KUMA E-Box ROW"/>
    <s v="RCS DEVICE"/>
    <s v="Top cover"/>
    <s v="130040670013934"/>
    <s v="Dongguan Wellsun Plastic"/>
    <n v="2024"/>
    <n v="7"/>
    <s v="DP"/>
    <d v="2024-11-01T00:00:00"/>
    <n v="2"/>
    <m/>
    <n v="0"/>
    <n v="500000"/>
    <x v="2"/>
    <d v="2024-07-26T00:00:00"/>
    <n v="37345.132743362832"/>
    <n v="1"/>
    <n v="37345.132743362832"/>
    <s v="Chris"/>
    <s v="Approved"/>
    <s v="No"/>
    <m/>
  </r>
  <r>
    <s v="KUMA E-Box ROW"/>
    <s v="RCS DEVICE"/>
    <s v="Top cover"/>
    <s v="130040670013934"/>
    <s v="Dongguan Wellsun Plastic"/>
    <n v="2024"/>
    <n v="7"/>
    <s v="DP"/>
    <d v="2024-11-01T00:00:00"/>
    <n v="2"/>
    <m/>
    <n v="0"/>
    <n v="500000"/>
    <x v="2"/>
    <d v="2024-07-26T00:00:00"/>
    <n v="39380.530973451328"/>
    <n v="1"/>
    <n v="39380.530973451328"/>
    <s v="Chris"/>
    <s v="Approved"/>
    <s v="No"/>
    <m/>
  </r>
  <r>
    <s v="KUMA E-Box ROW"/>
    <s v="RCS DEVICE"/>
    <s v="Top cover"/>
    <s v="130040670013934"/>
    <s v="Dongguan Wellsun Plastic"/>
    <n v="2024"/>
    <n v="9"/>
    <s v="DP"/>
    <d v="2024-11-01T00:00:00"/>
    <n v="2"/>
    <m/>
    <n v="0"/>
    <n v="500000"/>
    <x v="2"/>
    <d v="2024-09-12T00:00:00"/>
    <n v="25849.557522123898"/>
    <n v="1"/>
    <n v="25849.557522123898"/>
    <s v="Chris"/>
    <s v="Approved"/>
    <s v="No"/>
    <m/>
  </r>
  <r>
    <s v="KUMA E-Box ROW"/>
    <s v="RCS DEVICE"/>
    <s v="Top cover"/>
    <s v="130040670013934"/>
    <s v="Dongguan Wellsun Plastic"/>
    <n v="2024"/>
    <n v="9"/>
    <s v="DP"/>
    <d v="2024-11-01T00:00:00"/>
    <n v="2"/>
    <m/>
    <n v="0"/>
    <n v="500000"/>
    <x v="2"/>
    <d v="2024-09-25T00:00:00"/>
    <n v="4601.7699115044252"/>
    <n v="1"/>
    <n v="4601.7699115044252"/>
    <s v="Chris"/>
    <s v="Approved"/>
    <s v="No"/>
    <m/>
  </r>
  <r>
    <s v="KUMA E-Box ROW"/>
    <s v="RCS DEVICE"/>
    <s v="Bottom cover"/>
    <s v="130040670019337"/>
    <s v="Dongguan Wellsun Plastic"/>
    <n v="2023"/>
    <n v="12"/>
    <s v="DP"/>
    <d v="2024-11-01T00:00:00"/>
    <n v="16"/>
    <n v="978432"/>
    <n v="978432"/>
    <n v="1000000"/>
    <x v="0"/>
    <d v="2023-12-23T00:00:00"/>
    <n v="535000"/>
    <n v="1"/>
    <n v="535000"/>
    <s v="Chris"/>
    <s v="Approved"/>
    <s v="No"/>
    <s v="16 cavities"/>
  </r>
  <r>
    <s v="KUMA E-Box ROW"/>
    <s v="RCS DEVICE"/>
    <s v="Bottom cover"/>
    <s v="130040670019337"/>
    <s v="Dongguan Wellsun Plastic"/>
    <n v="2024"/>
    <n v="4"/>
    <s v="DP"/>
    <d v="2024-11-01T00:00:00"/>
    <n v="8"/>
    <n v="489216"/>
    <n v="489216"/>
    <n v="1000000"/>
    <x v="0"/>
    <d v="2024-04-08T00:00:00"/>
    <n v="350000"/>
    <n v="1"/>
    <n v="350000"/>
    <s v="Chris"/>
    <s v="Approved"/>
    <s v="No"/>
    <s v="8 cavities"/>
  </r>
  <r>
    <s v="KUMA E-Box ROW"/>
    <s v="RCS DEVICE"/>
    <s v="Bottom cover"/>
    <s v="130040670019337"/>
    <s v="Dongguan Wellsun Plastic"/>
    <n v="2023"/>
    <n v="10"/>
    <s v="DP"/>
    <d v="2024-11-01T00:00:00"/>
    <n v="2"/>
    <m/>
    <n v="0"/>
    <n v="500000"/>
    <x v="1"/>
    <d v="2023-10-12T00:00:00"/>
    <n v="97345.132743362803"/>
    <n v="1"/>
    <n v="97345.132743362803"/>
    <s v="Chris"/>
    <s v="Approved"/>
    <s v="No"/>
    <m/>
  </r>
  <r>
    <s v="KUMA E-Box ROW"/>
    <s v="RCS DEVICE"/>
    <s v="Bottom cover"/>
    <s v="130040670019337"/>
    <s v="Dongguan Wellsun Plastic"/>
    <n v="2023"/>
    <n v="11"/>
    <s v="DP"/>
    <d v="2024-11-01T00:00:00"/>
    <n v="2"/>
    <m/>
    <n v="0"/>
    <n v="500000"/>
    <x v="2"/>
    <d v="2023-11-18T00:00:00"/>
    <n v="9734.5132743362847"/>
    <n v="1"/>
    <n v="9734.5132743362847"/>
    <s v="Chris"/>
    <s v="Approved"/>
    <s v="No"/>
    <m/>
  </r>
  <r>
    <s v="KUMA E-Box ROW"/>
    <s v="RCS DEVICE"/>
    <s v="Bottom cover"/>
    <s v="130040670019337"/>
    <s v="Dongguan Wellsun Plastic"/>
    <n v="2024"/>
    <n v="1"/>
    <s v="DP"/>
    <d v="2024-11-01T00:00:00"/>
    <n v="2"/>
    <m/>
    <n v="0"/>
    <n v="500000"/>
    <x v="2"/>
    <d v="2024-01-04T00:00:00"/>
    <n v="5044.2477876106195"/>
    <n v="1"/>
    <n v="5044.2477876106195"/>
    <s v="Chris"/>
    <s v="Approved"/>
    <s v="No"/>
    <m/>
  </r>
  <r>
    <s v="KUMA E-Box ROW"/>
    <s v="RCS DEVICE"/>
    <s v="Bottom cover"/>
    <s v="130040670019337"/>
    <s v="Dongguan Wellsun Plastic"/>
    <n v="2024"/>
    <n v="1"/>
    <s v="DP"/>
    <d v="2024-11-01T00:00:00"/>
    <n v="2"/>
    <m/>
    <n v="0"/>
    <n v="500000"/>
    <x v="2"/>
    <d v="2024-01-02T00:00:00"/>
    <n v="6460.1769911504434"/>
    <n v="1"/>
    <n v="6460.1769911504434"/>
    <s v="Chris"/>
    <s v="Approved"/>
    <s v="No"/>
    <m/>
  </r>
  <r>
    <s v="KUMA E-Box ROW"/>
    <s v="RCS DEVICE"/>
    <s v="Bottom cover"/>
    <s v="130040670019337"/>
    <s v="Dongguan Wellsun Plastic"/>
    <n v="2024"/>
    <n v="1"/>
    <s v="DP"/>
    <d v="2024-11-01T00:00:00"/>
    <n v="2"/>
    <m/>
    <n v="0"/>
    <n v="500000"/>
    <x v="2"/>
    <d v="2024-04-08T00:00:00"/>
    <n v="24778.761061946905"/>
    <n v="1"/>
    <n v="24778.761061946905"/>
    <s v="Chris"/>
    <s v="Approved"/>
    <s v="No"/>
    <m/>
  </r>
  <r>
    <s v="KUMA E-Box ROW"/>
    <s v="RCS DEVICE"/>
    <s v="Button"/>
    <s v="130040670019383"/>
    <s v="Dongguan Wellsun Plastic"/>
    <n v="2023"/>
    <n v="12"/>
    <s v="DP"/>
    <d v="2024-11-01T00:00:00"/>
    <n v="16"/>
    <n v="1397760"/>
    <n v="1397760"/>
    <n v="1000000"/>
    <x v="0"/>
    <d v="2023-12-23T00:00:00"/>
    <n v="250000"/>
    <n v="1"/>
    <n v="250000"/>
    <s v="Chris"/>
    <s v="Approved"/>
    <s v="No"/>
    <m/>
  </r>
  <r>
    <s v="KUMA E-Box ROW"/>
    <s v="RCS DEVICE"/>
    <s v="Button"/>
    <s v="130040670019383_x000a_130040670024316"/>
    <s v="Dongguan Wellsun Plastic"/>
    <n v="2023"/>
    <n v="12"/>
    <s v="DP"/>
    <d v="2024-11-01T00:00:00"/>
    <s v="2+2"/>
    <m/>
    <n v="0"/>
    <n v="500000"/>
    <x v="2"/>
    <d v="2023-12-02T00:00:00"/>
    <n v="3982.3008849557527"/>
    <n v="1"/>
    <n v="3982.3008849557527"/>
    <s v="Chris"/>
    <s v="Approved"/>
    <s v="No"/>
    <m/>
  </r>
  <r>
    <s v="KUMA E-Box ROW"/>
    <s v="RCS DEVICE"/>
    <s v="Button"/>
    <s v="130040670013603"/>
    <s v="Dongguan Wellsun Plastic"/>
    <n v="2023"/>
    <n v="10"/>
    <s v="DP"/>
    <d v="2024-11-01T00:00:00"/>
    <s v="2+2"/>
    <m/>
    <n v="0"/>
    <n v="500000"/>
    <x v="1"/>
    <d v="2023-10-12T00:00:00"/>
    <n v="69026.548672566394"/>
    <n v="1"/>
    <n v="69026.548672566394"/>
    <s v="Chris"/>
    <s v="Approved"/>
    <s v="No"/>
    <s v="Button-A and Button-B share one mold"/>
  </r>
  <r>
    <s v="KUMA E-Box ROW"/>
    <s v="RCS DEVICE"/>
    <s v="Button"/>
    <s v="130040670019383_x000a_130040670024316"/>
    <s v="Dongguan Wellsun Plastic"/>
    <n v="2023"/>
    <n v="10"/>
    <s v="DP"/>
    <d v="2024-11-01T00:00:00"/>
    <s v="2+2"/>
    <m/>
    <n v="0"/>
    <n v="500000"/>
    <x v="1"/>
    <d v="2023-10-12T00:00:00"/>
    <n v="69026.548672566394"/>
    <n v="1"/>
    <n v="69026.548672566394"/>
    <s v="Chris"/>
    <s v="Approved"/>
    <s v="No"/>
    <s v="Button-B thicker and Matte thicker sahre one mold"/>
  </r>
  <r>
    <s v="KUMA E-Box ROW"/>
    <s v="RCS DEVICE"/>
    <s v="PCBA holder"/>
    <s v="130040670013937"/>
    <s v="Dongguan Wellsun Plastic"/>
    <n v="2023"/>
    <n v="12"/>
    <s v="DP"/>
    <d v="2024-11-01T00:00:00"/>
    <n v="16"/>
    <n v="1223040"/>
    <n v="1223040"/>
    <n v="1000000"/>
    <x v="0"/>
    <d v="2023-12-23T00:00:00"/>
    <n v="432000"/>
    <n v="1"/>
    <n v="432000"/>
    <s v="Chris"/>
    <s v="Approved"/>
    <s v="No"/>
    <m/>
  </r>
  <r>
    <s v="KUMA E-Box ROW"/>
    <s v="RCS DEVICE"/>
    <s v="PCBA holder"/>
    <s v="130040670013937"/>
    <s v="Dongguan Wellsun Plastic"/>
    <n v="2023"/>
    <n v="10"/>
    <s v="DP"/>
    <d v="2024-11-01T00:00:00"/>
    <n v="2"/>
    <m/>
    <n v="0"/>
    <n v="500000"/>
    <x v="1"/>
    <d v="2023-10-12T00:00:00"/>
    <n v="66371.681415929197"/>
    <n v="1"/>
    <n v="66371.681415929197"/>
    <s v="Chris"/>
    <s v="Approved"/>
    <s v="No"/>
    <m/>
  </r>
  <r>
    <s v="KUMA E-Box ROW"/>
    <s v="RCS DEVICE"/>
    <s v="PCBA holder"/>
    <s v="130040670013937"/>
    <s v="Dongguan Wellsun Plastic"/>
    <n v="2023"/>
    <n v="10"/>
    <s v="DP"/>
    <d v="2024-11-01T00:00:00"/>
    <n v="2"/>
    <m/>
    <n v="0"/>
    <n v="500000"/>
    <x v="1"/>
    <d v="2023-10-12T00:00:00"/>
    <n v="66371.681415929197"/>
    <n v="1"/>
    <n v="66371.681415929197"/>
    <s v="Chris"/>
    <s v="Approved"/>
    <s v="No"/>
    <m/>
  </r>
  <r>
    <s v="KUMA E-Box ROW"/>
    <s v="RCS DEVICE"/>
    <s v="PCBA holder"/>
    <s v="130040670013937"/>
    <s v="Dongguan Wellsun Plastic"/>
    <n v="2024"/>
    <n v="9"/>
    <s v="DP"/>
    <d v="2024-11-01T00:00:00"/>
    <n v="2"/>
    <m/>
    <n v="0"/>
    <n v="500000"/>
    <x v="2"/>
    <d v="2024-09-12T00:00:00"/>
    <n v="18584.070796460179"/>
    <n v="1"/>
    <n v="18584.070796460179"/>
    <s v="Chris"/>
    <s v="Approved"/>
    <s v="No"/>
    <m/>
  </r>
  <r>
    <s v="KUMA E-Box ROW"/>
    <s v="RCS DEVICE"/>
    <s v="Light guide"/>
    <s v="130040670019391"/>
    <s v="Dongguan Wellsun Plastic"/>
    <n v="2023"/>
    <n v="12"/>
    <s v="DP"/>
    <d v="2024-11-01T00:00:00"/>
    <n v="16"/>
    <n v="1467648"/>
    <n v="1467648"/>
    <n v="1000000"/>
    <x v="0"/>
    <d v="2023-12-23T00:00:00"/>
    <n v="225000"/>
    <n v="1"/>
    <n v="225000"/>
    <s v="Chris"/>
    <s v="Approved"/>
    <s v="No"/>
    <m/>
  </r>
  <r>
    <s v="KUMA E-Box ROW"/>
    <s v="RCS DEVICE"/>
    <s v="Light guide"/>
    <s v="130040670019391"/>
    <s v="Dongguan Wellsun Plastic"/>
    <n v="2023"/>
    <n v="10"/>
    <s v="DP"/>
    <d v="2024-11-01T00:00:00"/>
    <n v="2"/>
    <m/>
    <n v="0"/>
    <n v="500000"/>
    <x v="1"/>
    <d v="2023-10-12T00:00:00"/>
    <n v="60176.991150442504"/>
    <n v="1"/>
    <n v="60176.991150442504"/>
    <s v="Chris"/>
    <s v="Approved"/>
    <s v="No"/>
    <m/>
  </r>
  <r>
    <s v="KUMA E-Box ROW"/>
    <s v="RCS DEVICE"/>
    <s v="Light guide"/>
    <s v="130040670019391"/>
    <s v="Dongguan Wellsun Plastic"/>
    <n v="2023"/>
    <n v="12"/>
    <s v="DP"/>
    <d v="2024-11-01T00:00:00"/>
    <n v="2"/>
    <m/>
    <n v="0"/>
    <n v="500000"/>
    <x v="2"/>
    <d v="2023-12-14T00:00:00"/>
    <n v="3982.3008849557527"/>
    <n v="1"/>
    <n v="3982.3008849557527"/>
    <s v="Chris"/>
    <s v="Approved"/>
    <s v="No"/>
    <m/>
  </r>
  <r>
    <s v="KUMA E-Box ROW"/>
    <s v="RCS DEVICE"/>
    <s v="Light guide"/>
    <s v="130040670019391"/>
    <s v="Dongguan Wellsun Plastic"/>
    <n v="2023"/>
    <n v="12"/>
    <s v="DP"/>
    <d v="2024-11-01T00:00:00"/>
    <n v="2"/>
    <m/>
    <n v="0"/>
    <n v="500000"/>
    <x v="2"/>
    <d v="2023-12-15T00:00:00"/>
    <n v="4070.7964601769913"/>
    <n v="1"/>
    <n v="4070.7964601769913"/>
    <s v="Chris"/>
    <s v="Approved"/>
    <s v="No"/>
    <m/>
  </r>
  <r>
    <s v="Box 8000 Full 2.0"/>
    <s v="MODI"/>
    <s v="Cartridge tank"/>
    <s v="130040670043027"/>
    <s v="Dongguan Wellsun Plastic"/>
    <n v="2024"/>
    <n v="5"/>
    <s v="DP"/>
    <d v="2024-11-01T00:00:00"/>
    <n v="8"/>
    <n v="406484"/>
    <n v="406484"/>
    <n v="1000000"/>
    <x v="0"/>
    <d v="2024-05-05T00:00:00"/>
    <n v="378000"/>
    <n v="1"/>
    <n v="378000"/>
    <s v="Chris"/>
    <s v="Approved"/>
    <s v="No"/>
    <m/>
  </r>
  <r>
    <s v="Box 8000 Full 2.0"/>
    <s v="MODI"/>
    <s v="Cartridge tank"/>
    <s v="130040670043027"/>
    <s v="Dongguan Wellsun Plastic"/>
    <n v="2024"/>
    <n v="1"/>
    <s v="DP"/>
    <d v="2024-11-01T00:00:00"/>
    <n v="2"/>
    <m/>
    <n v="0"/>
    <n v="500000"/>
    <x v="1"/>
    <d v="2024-01-10T00:00:00"/>
    <n v="120000"/>
    <n v="1"/>
    <n v="120000"/>
    <s v="Chris"/>
    <s v="Approved"/>
    <s v="No"/>
    <m/>
  </r>
  <r>
    <s v="Box 8000 Full 2.0"/>
    <s v="MODI"/>
    <s v="Cartridge tank"/>
    <s v="130040670043027"/>
    <s v="Dongguan Wellsun Plastic"/>
    <n v="2023"/>
    <n v="11"/>
    <s v="DP"/>
    <d v="2024-11-01T00:00:00"/>
    <n v="2"/>
    <m/>
    <n v="0"/>
    <n v="500000"/>
    <x v="1"/>
    <d v="2023-11-14T00:00:00"/>
    <n v="57522.123893805299"/>
    <n v="1"/>
    <n v="57522.123893805299"/>
    <s v="Chris"/>
    <s v="Approved"/>
    <s v="No"/>
    <m/>
  </r>
  <r>
    <s v="Box 8000 Full 2.0"/>
    <s v="MODI"/>
    <s v="Plastic plug"/>
    <s v="/"/>
    <s v="Dongguan Wellsun Plastic"/>
    <n v="2023"/>
    <n v="11"/>
    <s v="DP"/>
    <d v="2024-11-01T00:00:00"/>
    <n v="2"/>
    <m/>
    <n v="0"/>
    <n v="500000"/>
    <x v="1"/>
    <d v="2023-11-14T00:00:00"/>
    <n v="22123.893805309701"/>
    <n v="1"/>
    <n v="22123.893805309701"/>
    <s v="Chris"/>
    <s v="Approved"/>
    <s v="No"/>
    <m/>
  </r>
  <r>
    <s v="Box 8000 Full 2.0"/>
    <s v="MODI"/>
    <s v="Cartridge tank"/>
    <s v="130040670043027"/>
    <s v="Dongguan Wellsun Plastic"/>
    <n v="2024"/>
    <n v="3"/>
    <s v="DP"/>
    <d v="2024-11-01T00:00:00"/>
    <n v="2"/>
    <m/>
    <n v="0"/>
    <n v="500000"/>
    <x v="2"/>
    <d v="2024-03-28T00:00:00"/>
    <n v="3982.30088495575"/>
    <n v="1"/>
    <n v="3982.30088495575"/>
    <s v="Chris"/>
    <s v="Approved"/>
    <s v="No"/>
    <m/>
  </r>
  <r>
    <s v="Box 8000 Full 2.0"/>
    <s v="MODI"/>
    <s v="Cartridge tank"/>
    <s v="130040670043027"/>
    <s v="Dongguan Wellsun Plastic"/>
    <n v="2024"/>
    <n v="4"/>
    <s v="DP"/>
    <d v="2024-11-01T00:00:00"/>
    <n v="2"/>
    <m/>
    <n v="0"/>
    <n v="500000"/>
    <x v="2"/>
    <d v="2024-04-12T00:00:00"/>
    <n v="38495.575221238898"/>
    <n v="1"/>
    <n v="38495.575221238898"/>
    <s v="Chris"/>
    <s v="Approved"/>
    <s v="No"/>
    <m/>
  </r>
  <r>
    <s v="Box 8000 Full 2.0"/>
    <s v="MODI"/>
    <s v="Cartridge tank"/>
    <s v="130040670043027"/>
    <s v="Dongguan Wellsun Plastic"/>
    <n v="2024"/>
    <n v="5"/>
    <s v="DP"/>
    <d v="2024-11-01T00:00:00"/>
    <n v="2"/>
    <m/>
    <n v="0"/>
    <n v="500000"/>
    <x v="2"/>
    <d v="2024-05-30T00:00:00"/>
    <n v="6725.6637168141597"/>
    <n v="1"/>
    <n v="6725.6637168141597"/>
    <s v="Chris"/>
    <s v="Approved"/>
    <s v="No"/>
    <m/>
  </r>
  <r>
    <s v="Box 8000 Full 2.0"/>
    <s v="MODI"/>
    <s v="Cartridge tank"/>
    <s v="130040670043027"/>
    <s v="Dongguan Wellsun Plastic"/>
    <n v="2024"/>
    <n v="6"/>
    <s v="DP"/>
    <d v="2024-11-01T00:00:00"/>
    <n v="2"/>
    <m/>
    <n v="0"/>
    <n v="500000"/>
    <x v="3"/>
    <d v="2024-06-06T00:00:00"/>
    <n v="33628.318584070803"/>
    <n v="1"/>
    <n v="33628.318584070803"/>
    <s v="Chris"/>
    <s v="Approved"/>
    <s v="No"/>
    <m/>
  </r>
  <r>
    <s v="Box 8000 Full 2.0"/>
    <s v="MODI"/>
    <s v="Cartridge tank"/>
    <s v="130040670043027"/>
    <s v="Dongguan Wellsun Plastic"/>
    <n v="2024"/>
    <n v="7"/>
    <s v="DP"/>
    <d v="2024-11-01T00:00:00"/>
    <n v="8"/>
    <m/>
    <n v="0"/>
    <n v="1000000"/>
    <x v="3"/>
    <d v="2024-07-01T00:00:00"/>
    <n v="5752"/>
    <n v="1"/>
    <n v="5752"/>
    <s v="Chris"/>
    <s v="Approved"/>
    <s v="No"/>
    <m/>
  </r>
  <r>
    <s v="Box 8000 Full 2.0"/>
    <s v="MODI"/>
    <s v="Cartridge tank"/>
    <s v="130040670043027"/>
    <s v="Dongguan Wellsun Plastic"/>
    <n v="2024"/>
    <n v="7"/>
    <s v="DP"/>
    <d v="2024-11-01T00:00:00"/>
    <n v="2"/>
    <m/>
    <n v="0"/>
    <n v="500000"/>
    <x v="2"/>
    <d v="2024-07-22T00:00:00"/>
    <n v="4690.2654867256597"/>
    <n v="1"/>
    <n v="4690.2654867256597"/>
    <s v="Chris"/>
    <s v="Approved"/>
    <s v="No"/>
    <m/>
  </r>
  <r>
    <s v="Box 8000 Full 2.0"/>
    <s v="MODI"/>
    <s v="Cartridge tank"/>
    <s v="130040670043027"/>
    <s v="Dongguan Wellsun Plastic"/>
    <n v="2024"/>
    <n v="7"/>
    <s v="DP"/>
    <d v="2024-11-01T00:00:00"/>
    <n v="8"/>
    <m/>
    <n v="0"/>
    <n v="1000000"/>
    <x v="3"/>
    <d v="2024-07-31T00:00:00"/>
    <n v="7947"/>
    <n v="1"/>
    <n v="7947"/>
    <s v="Chris"/>
    <s v="Approved"/>
    <s v="No"/>
    <m/>
  </r>
  <r>
    <s v="Box 8000 Full 2.0"/>
    <s v="MODI"/>
    <s v="Cartridge tank"/>
    <s v="130040670043027"/>
    <s v="Dongguan Wellsun Plastic"/>
    <n v="2024"/>
    <n v="7"/>
    <s v="DP"/>
    <d v="2024-11-01T00:00:00"/>
    <n v="2"/>
    <m/>
    <n v="0"/>
    <n v="500000"/>
    <x v="2"/>
    <d v="2024-07-31T00:00:00"/>
    <n v="3716.8141592920401"/>
    <n v="1"/>
    <n v="3716.8141592920401"/>
    <s v="Chris"/>
    <s v="Approved"/>
    <s v="No"/>
    <m/>
  </r>
  <r>
    <s v="Box 8000 Full 2.0"/>
    <s v="MODI"/>
    <s v="Cartridge tank"/>
    <s v="130040670043027"/>
    <s v="Dongguan Wellsun Plastic"/>
    <n v="2024"/>
    <n v="8"/>
    <s v="DP"/>
    <d v="2024-11-01T00:00:00"/>
    <n v="8"/>
    <m/>
    <n v="0"/>
    <n v="1000000"/>
    <x v="3"/>
    <d v="2024-08-07T00:00:00"/>
    <n v="7920.3539823008896"/>
    <n v="1"/>
    <n v="7920.3539823008896"/>
    <s v="Chris"/>
    <s v="Approved"/>
    <s v="No"/>
    <m/>
  </r>
  <r>
    <s v="Box 5000 Full 2.0"/>
    <s v="MODI"/>
    <s v="Cartridge tank"/>
    <s v="130040670023444"/>
    <s v="Dongguan Wellsun Plastic"/>
    <n v="2024"/>
    <n v="5"/>
    <s v="DP"/>
    <d v="2024-11-01T00:00:00"/>
    <n v="16"/>
    <n v="812968"/>
    <n v="1625936"/>
    <n v="1000000"/>
    <x v="0"/>
    <d v="2024-05-17T00:00:00"/>
    <n v="550000"/>
    <n v="2"/>
    <n v="1100000"/>
    <s v="Chris"/>
    <s v="Approved"/>
    <s v="No"/>
    <m/>
  </r>
  <r>
    <s v="Box 5000 Full 2.0"/>
    <s v="MODI"/>
    <s v="Heater top cover"/>
    <s v="130040670023445"/>
    <s v="Dongguan Wellsun Plastic"/>
    <n v="2024"/>
    <n v="5"/>
    <s v="DP"/>
    <d v="2024-11-01T00:00:00"/>
    <n v="32"/>
    <n v="2257918"/>
    <n v="2257918"/>
    <n v="1000000"/>
    <x v="0"/>
    <d v="2024-05-17T00:00:00"/>
    <n v="750000"/>
    <n v="1"/>
    <n v="750000"/>
    <s v="Chris"/>
    <s v="Approved"/>
    <s v="No"/>
    <m/>
  </r>
  <r>
    <s v="Box 5000 Full 2.0"/>
    <s v="MODI"/>
    <s v="Heating holder"/>
    <s v="130040670023448"/>
    <s v="Dongguan Wellsun Plastic"/>
    <n v="2024"/>
    <n v="5"/>
    <s v="DP"/>
    <d v="2024-11-01T00:00:00"/>
    <n v="32"/>
    <n v="2257918"/>
    <n v="2257918"/>
    <n v="1000000"/>
    <x v="0"/>
    <d v="2024-05-17T00:00:00"/>
    <n v="720000"/>
    <n v="1"/>
    <n v="720000"/>
    <s v="Chris"/>
    <s v="Approved"/>
    <s v="No"/>
    <m/>
  </r>
  <r>
    <s v="Box 5000 Full 2.0"/>
    <s v="MODI"/>
    <s v="Bottom cover"/>
    <s v="130040670023442"/>
    <s v="Dongguan Wellsun Plastic"/>
    <n v="2024"/>
    <n v="5"/>
    <s v="DP"/>
    <d v="2024-11-01T00:00:00"/>
    <n v="16"/>
    <n v="1174108"/>
    <n v="2348216"/>
    <n v="1000000"/>
    <x v="0"/>
    <d v="2024-05-17T00:00:00"/>
    <n v="500000"/>
    <n v="2"/>
    <n v="1000000"/>
    <s v="Chris"/>
    <s v="Approved"/>
    <s v="No"/>
    <m/>
  </r>
  <r>
    <s v="Box 5000 Full 2.0"/>
    <s v="MODI"/>
    <s v="Inner bracket"/>
    <s v="130040670023440"/>
    <s v="Dongguan Wellsun Plastic"/>
    <n v="2024"/>
    <n v="5"/>
    <s v="DP"/>
    <d v="2024-11-01T00:00:00"/>
    <n v="16"/>
    <n v="1087138"/>
    <n v="2174276"/>
    <n v="1000000"/>
    <x v="0"/>
    <d v="2024-05-17T00:00:00"/>
    <n v="560000"/>
    <n v="2"/>
    <n v="1120000"/>
    <s v="Chris"/>
    <s v="Approved"/>
    <s v="No"/>
    <m/>
  </r>
  <r>
    <s v="KUMA E-Box ROW"/>
    <s v="RCS DEVICE"/>
    <s v="Bottom cover-KC"/>
    <s v="130040670019338"/>
    <s v="Dongguan Wellsun Plastic"/>
    <n v="2024"/>
    <n v="3"/>
    <s v="DP"/>
    <d v="2024-11-01T00:00:00"/>
    <n v="4"/>
    <n v="209664"/>
    <n v="209664"/>
    <n v="1000000"/>
    <x v="0"/>
    <d v="2024-03-14T00:00:00"/>
    <n v="219000"/>
    <n v="1"/>
    <n v="219000"/>
    <s v="Chris"/>
    <s v="Approved"/>
    <s v="No"/>
    <m/>
  </r>
  <r>
    <s v="Pen 800 Default 2.0"/>
    <s v="MODI"/>
    <s v="Bottom cover"/>
    <s v="130040670021244"/>
    <s v="Dongguan Wellsun Plastic"/>
    <n v="2023"/>
    <n v="10"/>
    <s v="DP"/>
    <d v="2024-11-01T00:00:00"/>
    <n v="32"/>
    <n v="2188784"/>
    <n v="2188784"/>
    <n v="1000000"/>
    <x v="0"/>
    <d v="2023-10-26T00:00:00"/>
    <n v="500000"/>
    <n v="1"/>
    <n v="500000"/>
    <s v="Chris"/>
    <s v="Approved"/>
    <s v="No"/>
    <m/>
  </r>
  <r>
    <s v="Pen 800 Default 2.0"/>
    <s v="MODI"/>
    <s v="Bottom cover"/>
    <s v="130040670021244"/>
    <s v="Dongguan Wellsun Plastic"/>
    <n v="2023"/>
    <n v="10"/>
    <s v="DP"/>
    <d v="2024-11-01T00:00:00"/>
    <n v="2"/>
    <m/>
    <n v="0"/>
    <n v="500000"/>
    <x v="1"/>
    <d v="2023-10-26T00:00:00"/>
    <n v="57522.123893805299"/>
    <n v="1"/>
    <n v="57522.123893805299"/>
    <s v="Chris"/>
    <s v="Approved"/>
    <s v="No"/>
    <m/>
  </r>
  <r>
    <s v="Pen 800 Default 2.0"/>
    <s v="MODI"/>
    <s v="Bottom cover-B"/>
    <s v="/"/>
    <s v="Dongguan Wellsun Plastic"/>
    <n v="2023"/>
    <n v="10"/>
    <s v="DP"/>
    <d v="2024-11-01T00:00:00"/>
    <n v="2"/>
    <m/>
    <n v="0"/>
    <n v="500000"/>
    <x v="1"/>
    <d v="2023-10-26T00:00:00"/>
    <n v="57522.123893805299"/>
    <n v="1"/>
    <n v="57522.123893805299"/>
    <s v="Chris"/>
    <s v="Approved"/>
    <s v="No"/>
    <m/>
  </r>
  <r>
    <s v="Pen 800 Default 2.0"/>
    <s v="MODI"/>
    <s v="Bottom cover"/>
    <s v="130040670021244"/>
    <s v="Dongguan Wellsun Plastic"/>
    <n v="2024"/>
    <n v="3"/>
    <s v="DP"/>
    <d v="2024-11-01T00:00:00"/>
    <n v="32"/>
    <n v="2188784"/>
    <n v="2188784"/>
    <n v="1000000"/>
    <x v="0"/>
    <d v="2024-03-12T00:00:00"/>
    <n v="450000"/>
    <n v="1"/>
    <n v="450000"/>
    <s v="Chris"/>
    <s v="Approved"/>
    <s v="No"/>
    <m/>
  </r>
  <r>
    <s v="Pen 800 Default 2.0"/>
    <s v="MODI"/>
    <s v="Bottom cover"/>
    <s v="130040670021244"/>
    <s v="Dongguan Wellsun Plastic"/>
    <n v="2023"/>
    <n v="11"/>
    <s v="DP"/>
    <d v="2024-11-01T00:00:00"/>
    <n v="32"/>
    <m/>
    <n v="0"/>
    <n v="1000000"/>
    <x v="3"/>
    <d v="2023-11-11T00:00:00"/>
    <n v="18584.070796460201"/>
    <n v="1"/>
    <n v="18584.070796460201"/>
    <s v="Chris"/>
    <s v="Approved"/>
    <s v="No"/>
    <m/>
  </r>
  <r>
    <s v="Pen 800 Default 2.0"/>
    <s v="MODI"/>
    <s v="Heating holder"/>
    <s v="130040670034735"/>
    <s v="Dongguan Wellsun Plastic"/>
    <n v="2023"/>
    <n v="11"/>
    <s v="DP"/>
    <d v="2024-11-01T00:00:00"/>
    <n v="2"/>
    <m/>
    <n v="0"/>
    <n v="500000"/>
    <x v="2"/>
    <d v="2023-11-14T00:00:00"/>
    <n v="37168.141592920401"/>
    <n v="1"/>
    <n v="37168.141592920401"/>
    <s v="Chris"/>
    <s v="Approved"/>
    <s v="No"/>
    <m/>
  </r>
  <r>
    <s v="Pen 800 Default 2.0"/>
    <s v="MODI"/>
    <s v="Heating holder"/>
    <s v="130040670034735"/>
    <s v="Dongguan Wellsun Plastic"/>
    <n v="2023"/>
    <n v="11"/>
    <s v="DP"/>
    <d v="2024-11-01T00:00:00"/>
    <n v="2"/>
    <m/>
    <n v="0"/>
    <n v="500000"/>
    <x v="2"/>
    <d v="2023-11-14T00:00:00"/>
    <n v="39115.044247787599"/>
    <n v="1"/>
    <n v="39115.044247787599"/>
    <s v="Chris"/>
    <s v="Approved"/>
    <s v="No"/>
    <m/>
  </r>
  <r>
    <s v="Pen 800 Default 2.0"/>
    <s v="MODI"/>
    <s v="Heating holder"/>
    <s v="130040670034735"/>
    <s v="Dongguan Wellsun Plastic"/>
    <n v="2023"/>
    <n v="11"/>
    <s v="DP"/>
    <d v="2024-11-01T00:00:00"/>
    <n v="32"/>
    <m/>
    <n v="0"/>
    <n v="1000000"/>
    <x v="3"/>
    <d v="2023-11-19T00:00:00"/>
    <n v="128318.584070796"/>
    <n v="1"/>
    <n v="128318.584070796"/>
    <s v="Chris"/>
    <s v="Approved"/>
    <s v="No"/>
    <m/>
  </r>
  <r>
    <s v="Pen 800 Default 2.0"/>
    <s v="MODI"/>
    <s v="Bottom cover"/>
    <s v="130040670021244"/>
    <s v="Dongguan Wellsun Plastic"/>
    <n v="2023"/>
    <n v="11"/>
    <s v="DP"/>
    <d v="2024-11-01T00:00:00"/>
    <n v="2"/>
    <m/>
    <n v="0"/>
    <n v="500000"/>
    <x v="2"/>
    <d v="2023-11-28T00:00:00"/>
    <n v="5752.2123893805301"/>
    <n v="1"/>
    <n v="5752.2123893805301"/>
    <s v="Chris"/>
    <s v="Approved"/>
    <s v="No"/>
    <m/>
  </r>
  <r>
    <s v="Pen 800 Default 2.0"/>
    <s v="MODI"/>
    <s v="Bottom cover"/>
    <s v="130040670021244"/>
    <s v="Dongguan Wellsun Plastic"/>
    <n v="2023"/>
    <n v="12"/>
    <s v="DP"/>
    <d v="2024-11-01T00:00:00"/>
    <n v="2"/>
    <m/>
    <n v="0"/>
    <n v="500000"/>
    <x v="2"/>
    <d v="2023-12-07T00:00:00"/>
    <n v="5486.7256637168102"/>
    <n v="1"/>
    <n v="5486.7256637168102"/>
    <s v="Chris"/>
    <s v="Approved"/>
    <s v="No"/>
    <m/>
  </r>
  <r>
    <s v="Pen 800 Default 2.0"/>
    <s v="MODI"/>
    <s v="Bottom cover"/>
    <s v="130040670021244"/>
    <s v="Dongguan Wellsun Plastic"/>
    <n v="2023"/>
    <n v="11"/>
    <s v="DP"/>
    <d v="2024-11-01T00:00:00"/>
    <n v="2"/>
    <m/>
    <n v="0"/>
    <n v="500000"/>
    <x v="2"/>
    <d v="2023-11-23T00:00:00"/>
    <n v="19115.044247787599"/>
    <n v="1"/>
    <n v="19115.044247787599"/>
    <s v="Chris"/>
    <s v="Approved"/>
    <s v="No"/>
    <m/>
  </r>
  <r>
    <s v="Pen 800 Default 2.0"/>
    <s v="MODI"/>
    <s v="Heating holder"/>
    <s v="130040670034735"/>
    <s v="Dongguan Wellsun Plastic"/>
    <n v="2023"/>
    <n v="12"/>
    <s v="DP"/>
    <d v="2024-11-01T00:00:00"/>
    <n v="32"/>
    <m/>
    <n v="0"/>
    <n v="1000000"/>
    <x v="3"/>
    <d v="2023-12-13T00:00:00"/>
    <n v="27433.628318584098"/>
    <n v="1"/>
    <n v="27433.628318584098"/>
    <s v="Chris"/>
    <s v="Approved"/>
    <s v="No"/>
    <m/>
  </r>
  <r>
    <s v="Pen 800 Default 2.0"/>
    <s v="MODI"/>
    <s v="Bottom cover"/>
    <s v="130040670021244"/>
    <s v="Dongguan Wellsun Plastic"/>
    <n v="2023"/>
    <n v="12"/>
    <s v="DP"/>
    <d v="2024-11-01T00:00:00"/>
    <n v="32"/>
    <m/>
    <n v="0"/>
    <n v="1000000"/>
    <x v="3"/>
    <d v="2023-12-13T00:00:00"/>
    <n v="75221.238938053095"/>
    <n v="1"/>
    <n v="75221.238938053095"/>
    <s v="Chris"/>
    <s v="Approved"/>
    <s v="No"/>
    <m/>
  </r>
  <r>
    <s v="Pen 800 Default 2.0"/>
    <s v="MODI"/>
    <s v="Bottom cover"/>
    <s v="130040670021244"/>
    <s v="Dongguan Wellsun Plastic"/>
    <n v="2023"/>
    <n v="12"/>
    <s v="DP"/>
    <d v="2024-11-01T00:00:00"/>
    <n v="2"/>
    <m/>
    <n v="0"/>
    <n v="500000"/>
    <x v="2"/>
    <d v="2023-12-22T00:00:00"/>
    <n v="6371.6814159291998"/>
    <n v="1"/>
    <n v="6371.6814159291998"/>
    <s v="Chris"/>
    <s v="Approved"/>
    <s v="No"/>
    <m/>
  </r>
  <r>
    <s v="Pen 800 Default 2.0"/>
    <s v="MODI"/>
    <s v="Bottom cover"/>
    <s v="130040670021244"/>
    <s v="Dongguan Wellsun Plastic"/>
    <n v="2024"/>
    <n v="1"/>
    <s v="DP"/>
    <d v="2024-11-01T00:00:00"/>
    <n v="2"/>
    <m/>
    <n v="0"/>
    <n v="500000"/>
    <x v="2"/>
    <d v="2024-01-09T00:00:00"/>
    <n v="5132.7433628318604"/>
    <n v="1"/>
    <n v="5132.7433628318604"/>
    <s v="Chris"/>
    <s v="Approved"/>
    <s v="No"/>
    <m/>
  </r>
  <r>
    <s v="Pen 800 Default 2.0"/>
    <s v="MODI"/>
    <s v="Bottom cover"/>
    <s v="130040670021244"/>
    <s v="Dongguan Wellsun Plastic"/>
    <n v="2024"/>
    <n v="1"/>
    <s v="DP"/>
    <d v="2024-11-01T00:00:00"/>
    <n v="2"/>
    <m/>
    <n v="0"/>
    <n v="500000"/>
    <x v="2"/>
    <d v="2024-01-02T00:00:00"/>
    <n v="5929.20353982301"/>
    <n v="1"/>
    <n v="5929.20353982301"/>
    <s v="Chris"/>
    <s v="Approved"/>
    <s v="No"/>
    <m/>
  </r>
  <r>
    <s v="KUMA E-Box ROW"/>
    <s v="RCS DEVICE"/>
    <s v="Top cover"/>
    <s v="130040670013934"/>
    <s v="Dongguan Wellsun Plastic"/>
    <n v="2024"/>
    <n v="3"/>
    <s v="DP"/>
    <d v="2024-11-01T00:00:00"/>
    <n v="2"/>
    <m/>
    <n v="0"/>
    <n v="500000"/>
    <x v="2"/>
    <d v="2024-03-28T00:00:00"/>
    <n v="48000"/>
    <n v="1"/>
    <n v="48000"/>
    <s v="Chris"/>
    <s v="Approved"/>
    <s v="No"/>
    <m/>
  </r>
  <r>
    <s v="Pen 800 Default 2.0"/>
    <s v="MODI"/>
    <s v="Cartridge tank"/>
    <s v="130040670034715"/>
    <s v="Dongguan Wellsun Plastic"/>
    <n v="2023"/>
    <n v="10"/>
    <s v="DP"/>
    <d v="2024-11-01T00:00:00"/>
    <n v="32"/>
    <n v="1896960"/>
    <n v="1896960"/>
    <n v="1000000"/>
    <x v="0"/>
    <d v="2023-10-26T00:00:00"/>
    <n v="560000"/>
    <n v="1"/>
    <n v="560000"/>
    <s v="Chris"/>
    <s v="Approved"/>
    <s v="No"/>
    <m/>
  </r>
  <r>
    <s v="Pen 800 Default 2.0"/>
    <s v="MODI"/>
    <s v="Cartridge tank"/>
    <s v="130040670034715"/>
    <s v="Dongguan Wellsun Plastic"/>
    <n v="2023"/>
    <n v="10"/>
    <s v="DP"/>
    <d v="2024-11-01T00:00:00"/>
    <n v="2"/>
    <m/>
    <n v="0"/>
    <n v="500000"/>
    <x v="1"/>
    <d v="2023-10-26T00:00:00"/>
    <n v="62831.858407079599"/>
    <n v="1"/>
    <n v="62831.858407079599"/>
    <s v="Chris"/>
    <s v="Approved"/>
    <s v="No"/>
    <m/>
  </r>
  <r>
    <s v="Pen 800 Default 2.0"/>
    <s v="MODI"/>
    <s v="Cartridge tank"/>
    <s v="130040670034715"/>
    <s v="Dongguan Wellsun Plastic"/>
    <n v="2023"/>
    <n v="12"/>
    <s v="DP"/>
    <d v="2024-11-01T00:00:00"/>
    <n v="2"/>
    <m/>
    <n v="0"/>
    <n v="500000"/>
    <x v="2"/>
    <d v="2023-12-07T00:00:00"/>
    <n v="4070.79646017699"/>
    <n v="1"/>
    <n v="4070.79646017699"/>
    <s v="Chris"/>
    <s v="Approved"/>
    <s v="No"/>
    <m/>
  </r>
  <r>
    <s v="Pen 800 Default 2.0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21T00:00:00"/>
    <n v="12743.3628318584"/>
    <n v="1"/>
    <n v="12743.3628318584"/>
    <s v="Chris"/>
    <s v="Approved"/>
    <s v="No"/>
    <m/>
  </r>
  <r>
    <s v="Pen 800 Default 2.0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12T00:00:00"/>
    <n v="12743.3628318584"/>
    <n v="1"/>
    <n v="12743.3628318584"/>
    <s v="Chris"/>
    <s v="Approved"/>
    <s v="No"/>
    <m/>
  </r>
  <r>
    <s v="Pen 800 Default 2.0"/>
    <s v="MODI"/>
    <s v="Cartridge tank"/>
    <s v="130040670034715"/>
    <s v="Dongguan Wellsun Plastic"/>
    <n v="2023"/>
    <n v="12"/>
    <s v="DP"/>
    <d v="2024-11-01T00:00:00"/>
    <n v="32"/>
    <m/>
    <n v="0"/>
    <n v="1000000"/>
    <x v="3"/>
    <d v="2023-12-13T00:00:00"/>
    <n v="278761.06194690301"/>
    <n v="1"/>
    <n v="278761.06194690301"/>
    <s v="Chris"/>
    <s v="Approved"/>
    <s v="No"/>
    <m/>
  </r>
  <r>
    <s v="Pen 800 Default 2.0"/>
    <s v="MODI"/>
    <s v="Cartridge tank"/>
    <s v="130040670034715"/>
    <s v="Dongguan Wellsun Plastic"/>
    <n v="2023"/>
    <n v="12"/>
    <s v="DP"/>
    <d v="2024-11-01T00:00:00"/>
    <n v="2"/>
    <m/>
    <n v="0"/>
    <n v="500000"/>
    <x v="2"/>
    <d v="2023-12-15T00:00:00"/>
    <n v="15044.2477876106"/>
    <n v="1"/>
    <n v="15044.2477876106"/>
    <s v="Chris"/>
    <s v="Approved"/>
    <s v="No"/>
    <m/>
  </r>
  <r>
    <s v="Pen 800 Default 2.0"/>
    <s v="MODI"/>
    <s v="Cartridge tank"/>
    <s v="130040670034715"/>
    <s v="Dongguan Wellsun Plastic"/>
    <n v="2023"/>
    <n v="12"/>
    <s v="DP"/>
    <d v="2024-11-01T00:00:00"/>
    <n v="32"/>
    <m/>
    <n v="0"/>
    <n v="1000000"/>
    <x v="3"/>
    <d v="2023-12-15T00:00:00"/>
    <n v="20796.460176991201"/>
    <n v="1"/>
    <n v="20796.460176991201"/>
    <s v="Chris"/>
    <s v="Approved"/>
    <s v="No"/>
    <m/>
  </r>
  <r>
    <s v="Pen 800 Default 2.0"/>
    <s v="MODI"/>
    <s v="Cartridge tank"/>
    <s v="130040670034715"/>
    <s v="Dongguan Wellsun Plastic"/>
    <n v="2023"/>
    <n v="12"/>
    <s v="DP"/>
    <d v="2024-11-01T00:00:00"/>
    <n v="2"/>
    <m/>
    <n v="0"/>
    <n v="500000"/>
    <x v="2"/>
    <d v="2023-12-27T00:00:00"/>
    <n v="6017.69911504425"/>
    <n v="1"/>
    <n v="6017.69911504425"/>
    <s v="Chris"/>
    <s v="Approved"/>
    <s v="No"/>
    <m/>
  </r>
  <r>
    <s v="Pen 800 Default 2.0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27T00:00:00"/>
    <n v="54031.858407079599"/>
    <n v="1"/>
    <n v="54031.858407079599"/>
    <s v="Chris"/>
    <s v="Approved"/>
    <s v="No"/>
    <s v="检测费用"/>
  </r>
  <r>
    <s v="Pen 800 Default 2.0"/>
    <s v="MODI"/>
    <s v="Cartridge tank"/>
    <s v="130040670034715"/>
    <s v="Dongguan Wellsun Plastic"/>
    <n v="2024"/>
    <n v="1"/>
    <s v="DP"/>
    <d v="2024-11-01T00:00:00"/>
    <n v="32"/>
    <m/>
    <n v="0"/>
    <n v="1000000"/>
    <x v="3"/>
    <d v="2024-01-10T00:00:00"/>
    <n v="24601.769911504402"/>
    <n v="1"/>
    <n v="24601.769911504402"/>
    <s v="Chris"/>
    <s v="Approved"/>
    <s v="No"/>
    <m/>
  </r>
  <r>
    <s v="Pen 800 Default 2.0"/>
    <s v="MODI"/>
    <s v="Heater top cover"/>
    <s v="130040670021246"/>
    <s v="Dongguan Wellsun Plastic"/>
    <n v="2023"/>
    <n v="10"/>
    <s v="DP"/>
    <d v="2024-11-01T00:00:00"/>
    <n v="32"/>
    <n v="2552420"/>
    <n v="2552420"/>
    <n v="1000000"/>
    <x v="0"/>
    <d v="2023-10-26T00:00:00"/>
    <n v="600000"/>
    <n v="1"/>
    <n v="600000"/>
    <s v="Chris"/>
    <s v="Approved"/>
    <s v="No"/>
    <m/>
  </r>
  <r>
    <s v="Pen 800 Default 2.0"/>
    <s v="MODI"/>
    <s v="Heater top cover"/>
    <s v="130040670021246"/>
    <s v="Dongguan Wellsun Plastic"/>
    <n v="2023"/>
    <n v="10"/>
    <s v="DP"/>
    <d v="2024-11-01T00:00:00"/>
    <n v="2"/>
    <m/>
    <n v="0"/>
    <n v="500000"/>
    <x v="1"/>
    <d v="2023-10-26T00:00:00"/>
    <n v="57522.123893805299"/>
    <n v="1"/>
    <n v="57522.123893805299"/>
    <s v="Chris"/>
    <s v="Approved"/>
    <s v="No"/>
    <m/>
  </r>
  <r>
    <s v="Pen 800 Default 2.0"/>
    <s v="MODI"/>
    <s v="Heating holder"/>
    <s v="130040670034735"/>
    <s v="Dongguan Wellsun Plastic"/>
    <n v="2023"/>
    <n v="10"/>
    <s v="DP"/>
    <d v="2024-11-01T00:00:00"/>
    <n v="32"/>
    <n v="2348216"/>
    <n v="2348216"/>
    <n v="1000000"/>
    <x v="0"/>
    <d v="2023-10-26T00:00:00"/>
    <n v="600000"/>
    <n v="1"/>
    <n v="600000"/>
    <s v="Chris"/>
    <s v="Approved"/>
    <s v="No"/>
    <m/>
  </r>
  <r>
    <s v="Pen 800 Default 2.0"/>
    <s v="MODI"/>
    <s v="Heating holder"/>
    <s v="130040670034735"/>
    <s v="Dongguan Wellsun Plastic"/>
    <n v="2023"/>
    <n v="10"/>
    <s v="DP"/>
    <d v="2024-11-01T00:00:00"/>
    <n v="2"/>
    <m/>
    <n v="0"/>
    <n v="500000"/>
    <x v="1"/>
    <d v="2023-10-26T00:00:00"/>
    <n v="61946.902654867299"/>
    <n v="1"/>
    <n v="61946.902654867299"/>
    <s v="Chris"/>
    <s v="Approved"/>
    <s v="No"/>
    <m/>
  </r>
  <r>
    <s v="Pen 800 Default 2.0"/>
    <s v="MODI"/>
    <s v="Heating holder"/>
    <s v="130040670034735"/>
    <s v="Dongguan Wellsun Plastic"/>
    <n v="2023"/>
    <n v="11"/>
    <s v="DP"/>
    <d v="2024-11-01T00:00:00"/>
    <n v="2"/>
    <m/>
    <n v="0"/>
    <n v="500000"/>
    <x v="2"/>
    <d v="2023-11-14T00:00:00"/>
    <n v="10796.460176991201"/>
    <n v="1"/>
    <n v="10796.460176991201"/>
    <s v="Chris"/>
    <s v="Approved"/>
    <s v="No"/>
    <m/>
  </r>
  <r>
    <s v="Pen 800 Default 2.0"/>
    <s v="MODI"/>
    <s v="Heating holder"/>
    <s v="130040670034735"/>
    <s v="Dongguan Wellsun Plastic"/>
    <n v="2023"/>
    <n v="12"/>
    <s v="DP"/>
    <d v="2024-11-01T00:00:00"/>
    <n v="2"/>
    <m/>
    <n v="0"/>
    <n v="500000"/>
    <x v="2"/>
    <d v="2023-12-15T00:00:00"/>
    <n v="6371.6814159291998"/>
    <n v="1"/>
    <n v="6371.6814159291998"/>
    <s v="Chris"/>
    <s v="Approved"/>
    <s v="No"/>
    <m/>
  </r>
  <r>
    <s v="DP1500"/>
    <s v="MODI"/>
    <s v="Battery tube"/>
    <s v="130040660001514"/>
    <s v="Dongguan Wellsun Plastic"/>
    <n v="2022"/>
    <n v="11"/>
    <s v="DP"/>
    <d v="2024-11-01T00:00:00"/>
    <n v="16"/>
    <n v="978432"/>
    <n v="1956864"/>
    <n v="1000000"/>
    <x v="0"/>
    <d v="2022-11-09T00:00:00"/>
    <n v="546000"/>
    <n v="2"/>
    <n v="1092000"/>
    <s v="Chris"/>
    <s v="Approved"/>
    <s v="No"/>
    <m/>
  </r>
  <r>
    <s v="DP1500"/>
    <s v="MODI"/>
    <s v="Mouth piece"/>
    <s v="13004013040453X"/>
    <s v="Dongguan Wellsun Plastic"/>
    <n v="2022"/>
    <n v="11"/>
    <s v="DP"/>
    <d v="2024-11-01T00:00:00"/>
    <n v="16"/>
    <n v="978432"/>
    <n v="1956864"/>
    <n v="1000000"/>
    <x v="0"/>
    <d v="2022-11-09T00:00:00"/>
    <n v="455000"/>
    <n v="2"/>
    <n v="910000"/>
    <s v="Chris"/>
    <s v="Approved"/>
    <s v="No"/>
    <m/>
  </r>
  <r>
    <s v="Alto Pod "/>
    <s v="RCS POD"/>
    <s v="Cartridge Tube"/>
    <s v="130010390000214"/>
    <s v="Indonesia Wellsun Plastic"/>
    <n v="2022"/>
    <n v="6"/>
    <s v="DP"/>
    <d v="2024-11-01T00:00:00"/>
    <n v="16"/>
    <n v="1241856"/>
    <n v="21111552"/>
    <n v="1000000"/>
    <x v="0"/>
    <d v="2022-06-15T00:00:00"/>
    <n v="1401456.1143433638"/>
    <n v="17"/>
    <n v="23824753.943837184"/>
    <s v="Chris"/>
    <s v="Approved"/>
    <s v="No"/>
    <s v="印尼项目美金结算"/>
  </r>
  <r>
    <s v="Alto Pod "/>
    <s v="RCS POD"/>
    <s v="Heating holder"/>
    <s v="130010390000215"/>
    <s v="Indonesia Wellsun Plastic"/>
    <n v="2022"/>
    <n v="6"/>
    <s v="DP"/>
    <d v="2024-11-01T00:00:00"/>
    <n v="32"/>
    <n v="3089786"/>
    <n v="21628502"/>
    <n v="1000000"/>
    <x v="0"/>
    <d v="2022-06-15T00:00:00"/>
    <n v="1374234.6733323566"/>
    <n v="7"/>
    <n v="9619642.713326497"/>
    <s v="Chris"/>
    <s v="Approved"/>
    <s v="No"/>
    <s v="印尼项目美金结算"/>
  </r>
  <r>
    <s v="Alto Pod "/>
    <s v="RCS POD"/>
    <s v="Cartomizer Holder Tap"/>
    <s v="130010390000216"/>
    <s v="Indonesia Wellsun Plastic"/>
    <n v="2022"/>
    <n v="6"/>
    <s v="DP"/>
    <d v="2024-11-01T00:00:00"/>
    <n v="32"/>
    <n v="3075072"/>
    <n v="21525504"/>
    <n v="1000000"/>
    <x v="0"/>
    <d v="2022-06-15T00:00:00"/>
    <n v="748808.68131868378"/>
    <n v="7"/>
    <n v="5241660.7692307867"/>
    <s v="Chris"/>
    <s v="Approved"/>
    <s v="No"/>
    <s v="印尼项目美金结算"/>
  </r>
  <r>
    <s v="Alto Pod "/>
    <s v="RCS POD"/>
    <s v="Heater top cover"/>
    <s v="130010390000221"/>
    <s v="Indonesia Wellsun Plastic"/>
    <n v="2022"/>
    <n v="6"/>
    <s v="DP"/>
    <d v="2024-11-01T00:00:00"/>
    <n v="32"/>
    <n v="3089786"/>
    <n v="21628502"/>
    <n v="1000000"/>
    <x v="0"/>
    <d v="2022-06-15T00:00:00"/>
    <n v="1358562.8679696072"/>
    <n v="7"/>
    <n v="9509940.07578725"/>
    <s v="Chris"/>
    <s v="Approved"/>
    <s v="No"/>
    <s v="印尼项目美金结算"/>
  </r>
  <r>
    <s v="HESTIA MAX (non smart)"/>
    <s v="RCS POD"/>
    <s v="Cartridge tank"/>
    <s v="130010670084791"/>
    <s v="Dongguan Wellsun Plastic"/>
    <n v="2024"/>
    <n v="6"/>
    <s v="DP"/>
    <d v="2024-11-01T00:00:00"/>
    <n v="2"/>
    <m/>
    <n v="0"/>
    <n v="500000"/>
    <x v="1"/>
    <d v="2024-06-11T00:00:00"/>
    <n v="81000"/>
    <n v="1"/>
    <n v="81000.000000000015"/>
    <s v="Chris"/>
    <s v="Approved"/>
    <s v="No"/>
    <m/>
  </r>
  <r>
    <s v="HESTIA MAX (non smart)"/>
    <s v="RCS POD"/>
    <s v="Heater Holder"/>
    <s v="130010670071674"/>
    <s v="Dongguan Wellsun Plastic"/>
    <n v="2024"/>
    <n v="6"/>
    <s v="DP"/>
    <d v="2024-11-01T00:00:00"/>
    <n v="2"/>
    <m/>
    <n v="0"/>
    <n v="500000"/>
    <x v="1"/>
    <d v="2024-06-11T00:00:00"/>
    <n v="72000"/>
    <n v="1"/>
    <n v="72000"/>
    <s v="Chris"/>
    <s v="Approved"/>
    <s v="No"/>
    <m/>
  </r>
  <r>
    <s v="HESTIA MAX (non smart)"/>
    <s v="RCS POD"/>
    <s v="Heater cover"/>
    <s v="130010670071675"/>
    <s v="Dongguan Wellsun Plastic"/>
    <n v="2024"/>
    <n v="6"/>
    <s v="DP"/>
    <d v="2024-11-01T00:00:00"/>
    <n v="2"/>
    <m/>
    <n v="0"/>
    <n v="500000"/>
    <x v="1"/>
    <d v="2024-06-11T00:00:00"/>
    <n v="72000"/>
    <n v="1"/>
    <n v="72000"/>
    <s v="Chris"/>
    <s v="Approved"/>
    <s v="No"/>
    <m/>
  </r>
  <r>
    <s v="HESTIA MAX (non smart)"/>
    <s v="RCS POD"/>
    <s v="Heater Holder"/>
    <s v="130010670071674"/>
    <s v="Dongguan Wellsun Plastic"/>
    <n v="2024"/>
    <n v="7"/>
    <s v="DP"/>
    <d v="2024-11-01T00:00:00"/>
    <n v="2"/>
    <m/>
    <n v="0"/>
    <n v="500000"/>
    <x v="2"/>
    <d v="2024-07-01T00:00:00"/>
    <n v="4247.787610619469"/>
    <n v="1"/>
    <n v="4247.787610619469"/>
    <s v="Chris"/>
    <s v="Approved"/>
    <s v="No"/>
    <m/>
  </r>
  <r>
    <s v="HESTIA MAX (non smart)"/>
    <s v="RCS POD"/>
    <s v="Cartridge tank"/>
    <s v="130010670084791"/>
    <s v="Dongguan Wellsun Plastic"/>
    <n v="2024"/>
    <n v="8"/>
    <s v="DP"/>
    <d v="2024-11-01T00:00:00"/>
    <n v="2"/>
    <m/>
    <n v="0"/>
    <n v="500000"/>
    <x v="2"/>
    <d v="2024-08-02T00:00:00"/>
    <n v="6371.6814159292044"/>
    <n v="1"/>
    <n v="6371.6814159292044"/>
    <s v="Chris"/>
    <s v="Approved"/>
    <s v="No"/>
    <m/>
  </r>
  <r>
    <s v="HESTIA MAX (non smart)"/>
    <s v="RCS POD"/>
    <s v="Cartridge tank"/>
    <s v="130010670084791"/>
    <s v="Dongguan Wellsun Plastic"/>
    <n v="2024"/>
    <n v="9"/>
    <s v="DP"/>
    <d v="2024-11-01T00:00:00"/>
    <n v="2"/>
    <m/>
    <n v="0"/>
    <n v="500000"/>
    <x v="2"/>
    <d v="2024-09-11T00:00:00"/>
    <n v="3097.3451327433631"/>
    <n v="1"/>
    <n v="3097.3451327433631"/>
    <s v="Chris"/>
    <s v="Approved"/>
    <s v="No"/>
    <m/>
  </r>
  <r>
    <s v="HESTIA MAX (non smart)"/>
    <s v="RCS POD"/>
    <s v="Heater Holder"/>
    <s v="130010670071674"/>
    <s v="Dongguan Wellsun Plastic"/>
    <n v="2024"/>
    <n v="9"/>
    <s v="DP"/>
    <d v="2024-11-01T00:00:00"/>
    <n v="2"/>
    <m/>
    <n v="0"/>
    <n v="500000"/>
    <x v="2"/>
    <d v="2024-09-11T00:00:00"/>
    <n v="4247.787610619469"/>
    <n v="1"/>
    <n v="4247.787610619469"/>
    <s v="Chris"/>
    <s v="Approved"/>
    <s v="No"/>
    <m/>
  </r>
  <r>
    <s v="HESTIA MAX (non smart)"/>
    <s v="RCS POD"/>
    <s v="Cartridge tank"/>
    <s v="130010670084791"/>
    <s v="Dongguan Wellsun Plastic"/>
    <n v="2024"/>
    <n v="9"/>
    <s v="DP"/>
    <d v="2024-11-01T00:00:00"/>
    <n v="2"/>
    <m/>
    <n v="0"/>
    <n v="500000"/>
    <x v="2"/>
    <d v="2024-09-26T00:00:00"/>
    <n v="22654.867256637172"/>
    <n v="1"/>
    <n v="22654.867256637172"/>
    <s v="Chris"/>
    <s v="Approved"/>
    <s v="No"/>
    <m/>
  </r>
  <r>
    <s v="Pen 800 Full 2.0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12T00:00:00"/>
    <n v="6371.6814159291998"/>
    <n v="1"/>
    <n v="6371.6814159291998"/>
    <s v="Chris"/>
    <s v="Approved"/>
    <s v="No"/>
    <m/>
  </r>
  <r>
    <s v="Pen 800 Full 2.0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15T00:00:00"/>
    <n v="5575.2212389380502"/>
    <n v="1"/>
    <n v="5575.2212389380502"/>
    <s v="Chris"/>
    <s v="Approved"/>
    <s v="No"/>
    <m/>
  </r>
  <r>
    <s v="Pen 800 Full 2.0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22T00:00:00"/>
    <n v="6637.1681415929197"/>
    <n v="1"/>
    <n v="6637.1681415929197"/>
    <s v="Chris"/>
    <s v="Approved"/>
    <s v="No"/>
    <m/>
  </r>
  <r>
    <s v="Pen 800 Full 2.0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27T00:00:00"/>
    <n v="3982.30088495575"/>
    <n v="1"/>
    <n v="3982.30088495575"/>
    <s v="Chris"/>
    <s v="Approved"/>
    <s v="No"/>
    <m/>
  </r>
  <r>
    <s v="Pen 800 Full 2.0"/>
    <s v="MODI"/>
    <s v="Button"/>
    <s v="130040670017669"/>
    <s v="Dongguan Wellsun Plastic"/>
    <n v="2024"/>
    <n v="4"/>
    <s v="DP"/>
    <d v="2024-11-01T00:00:00"/>
    <n v="2"/>
    <m/>
    <n v="0"/>
    <n v="500000"/>
    <x v="2"/>
    <d v="2024-04-16T00:00:00"/>
    <n v="4336.2831858407098"/>
    <n v="1"/>
    <n v="4336.2831858407098"/>
    <s v="Chris"/>
    <s v="Approved"/>
    <s v="No"/>
    <m/>
  </r>
  <r>
    <s v="Pen 800 Full 2.0"/>
    <s v="MODI"/>
    <s v="Button"/>
    <s v="130040670017669"/>
    <s v="Dongguan Wellsun Plastic"/>
    <n v="2024"/>
    <n v="4"/>
    <s v="DP"/>
    <d v="2024-11-01T00:00:00"/>
    <n v="2"/>
    <m/>
    <n v="0"/>
    <n v="500000"/>
    <x v="2"/>
    <d v="2024-04-22T00:00:00"/>
    <n v="4513.2743362831898"/>
    <n v="1"/>
    <n v="4513.2743362831898"/>
    <s v="Chris"/>
    <s v="Approved"/>
    <s v="No"/>
    <m/>
  </r>
  <r>
    <s v="Pen 800 Full 2.0"/>
    <s v="MODI"/>
    <s v="Bottom cover"/>
    <s v="130040670017656"/>
    <s v="Dongguan Wellsun Plastic"/>
    <n v="2023"/>
    <n v="10"/>
    <s v="DP"/>
    <d v="2024-11-01T00:00:00"/>
    <n v="2"/>
    <m/>
    <n v="0"/>
    <n v="500000"/>
    <x v="2"/>
    <d v="2023-10-31T00:00:00"/>
    <n v="27433.628318584098"/>
    <n v="1"/>
    <n v="27433.628318584098"/>
    <s v="Chris"/>
    <s v="Approved"/>
    <s v="No"/>
    <m/>
  </r>
  <r>
    <s v="Pen 800 Full 2.0"/>
    <s v="MODI"/>
    <s v="Bottom cover"/>
    <s v="130040670017656"/>
    <s v="Dongguan Wellsun Plastic"/>
    <n v="2023"/>
    <n v="11"/>
    <s v="DP"/>
    <d v="2024-11-01T00:00:00"/>
    <n v="2"/>
    <m/>
    <n v="0"/>
    <n v="500000"/>
    <x v="2"/>
    <d v="2023-11-10T00:00:00"/>
    <n v="3982.30088495575"/>
    <n v="1"/>
    <n v="3982.30088495575"/>
    <s v="Chris"/>
    <s v="Approved"/>
    <s v="No"/>
    <m/>
  </r>
  <r>
    <s v="Pen 800 Full 2.0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06T00:00:00"/>
    <n v="5575.2212389380502"/>
    <n v="1"/>
    <n v="5575.2212389380502"/>
    <s v="Chris"/>
    <s v="Approved"/>
    <s v="No"/>
    <m/>
  </r>
  <r>
    <s v="Pen 800 Full 2.0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12T00:00:00"/>
    <n v="12743.3628318584"/>
    <n v="1"/>
    <n v="12743.3628318584"/>
    <s v="Chris"/>
    <s v="Approved"/>
    <s v="No"/>
    <m/>
  </r>
  <r>
    <s v="Pen 800 Full 2.0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18T00:00:00"/>
    <n v="4955.7522123893796"/>
    <n v="1"/>
    <n v="4955.7522123893796"/>
    <s v="Chris"/>
    <s v="Approved"/>
    <s v="No"/>
    <m/>
  </r>
  <r>
    <s v="Pen 800 Full 2.0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20T00:00:00"/>
    <n v="5752.2123893805301"/>
    <n v="1"/>
    <n v="5752.2123893805301"/>
    <s v="Chris"/>
    <s v="Approved"/>
    <s v="No"/>
    <m/>
  </r>
  <r>
    <s v="Pen 800 Full 2.0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23T00:00:00"/>
    <n v="4513.2743362831898"/>
    <n v="1"/>
    <n v="4513.2743362831898"/>
    <s v="Chris"/>
    <s v="Approved"/>
    <s v="No"/>
    <m/>
  </r>
  <r>
    <s v="Pen 800 Full 2.0"/>
    <s v="MODI"/>
    <s v="Battery module top cover"/>
    <s v="130040670017658"/>
    <s v="Dongguan Wellsun Plastic"/>
    <n v="2023"/>
    <n v="11"/>
    <s v="DP"/>
    <d v="2024-11-01T00:00:00"/>
    <n v="2"/>
    <m/>
    <n v="0"/>
    <n v="500000"/>
    <x v="2"/>
    <d v="2023-11-10T00:00:00"/>
    <n v="3274.3362831858399"/>
    <n v="1"/>
    <n v="3274.3362831858399"/>
    <s v="Chris"/>
    <s v="Approved"/>
    <s v="No"/>
    <m/>
  </r>
  <r>
    <s v="Pen 800 Full 2.0"/>
    <s v="MODI"/>
    <s v="Battery module top cover"/>
    <s v="130040670017658"/>
    <s v="Dongguan Wellsun Plastic"/>
    <n v="2023"/>
    <n v="12"/>
    <s v="DP"/>
    <d v="2024-11-01T00:00:00"/>
    <n v="2"/>
    <m/>
    <n v="0"/>
    <n v="500000"/>
    <x v="2"/>
    <d v="2023-12-05T00:00:00"/>
    <n v="6371.6814159291998"/>
    <n v="1"/>
    <n v="6371.6814159291998"/>
    <s v="Chris"/>
    <s v="Approved"/>
    <s v="No"/>
    <m/>
  </r>
  <r>
    <s v="Pen 800 Full 2.0"/>
    <s v="MODI"/>
    <s v="Battery module top cover"/>
    <s v="130040670017658"/>
    <s v="Dongguan Wellsun Plastic"/>
    <n v="2023"/>
    <n v="12"/>
    <s v="DP"/>
    <d v="2024-11-01T00:00:00"/>
    <n v="2"/>
    <m/>
    <n v="0"/>
    <n v="500000"/>
    <x v="2"/>
    <d v="2023-12-18T00:00:00"/>
    <n v="7699.1150442477901"/>
    <n v="1"/>
    <n v="7699.1150442477901"/>
    <s v="Chris"/>
    <s v="Approved"/>
    <s v="No"/>
    <m/>
  </r>
  <r>
    <s v="Pen 800 Full 2.0"/>
    <s v="MODI"/>
    <s v="Battery module top cover"/>
    <s v="130040670017658"/>
    <s v="Dongguan Wellsun Plastic"/>
    <n v="2023"/>
    <n v="12"/>
    <s v="DP"/>
    <d v="2024-11-01T00:00:00"/>
    <n v="2"/>
    <m/>
    <n v="0"/>
    <n v="500000"/>
    <x v="2"/>
    <d v="2023-12-23T00:00:00"/>
    <n v="5486.7256637168102"/>
    <n v="1"/>
    <n v="5486.7256637168102"/>
    <s v="Chris"/>
    <s v="Approved"/>
    <s v="No"/>
    <m/>
  </r>
  <r>
    <s v="Pen 800 Full 2.0"/>
    <s v="MODI"/>
    <s v="Bottom cover"/>
    <s v="130040670017656"/>
    <s v="Dongguan Wellsun Plastic"/>
    <n v="2024"/>
    <n v="1"/>
    <s v="DP"/>
    <d v="2024-11-01T00:00:00"/>
    <n v="2"/>
    <m/>
    <n v="0"/>
    <n v="500000"/>
    <x v="2"/>
    <d v="2024-01-26T00:00:00"/>
    <n v="7598.2300884955803"/>
    <n v="1"/>
    <n v="7598.2300884955803"/>
    <s v="Chris"/>
    <s v="Approved"/>
    <s v="No"/>
    <s v="检测费用"/>
  </r>
  <r>
    <s v="Pen 800 Full 2.0"/>
    <s v="MODI"/>
    <s v="Battery module top cover"/>
    <s v="130040670017658"/>
    <s v="Dongguan Wellsun Plastic"/>
    <n v="2024"/>
    <n v="3"/>
    <s v="DP"/>
    <d v="2024-11-01T00:00:00"/>
    <n v="2"/>
    <m/>
    <n v="0"/>
    <n v="500000"/>
    <x v="2"/>
    <d v="2024-03-27T00:00:00"/>
    <n v="5752.2123893805301"/>
    <n v="1"/>
    <n v="5752.2123893805301"/>
    <s v="Chris"/>
    <s v="Approved"/>
    <s v="No"/>
    <m/>
  </r>
  <r>
    <s v="Pen 800 Full 2.0"/>
    <s v="MODI"/>
    <s v="Heater top cover"/>
    <s v="/"/>
    <s v="Dongguan Wellsun Plastic"/>
    <n v="2024"/>
    <n v="1"/>
    <s v="DP"/>
    <d v="2024-11-01T00:00:00"/>
    <n v="2"/>
    <m/>
    <n v="0"/>
    <n v="500000"/>
    <x v="2"/>
    <d v="2024-01-29T00:00:00"/>
    <n v="6017.69911504425"/>
    <n v="1"/>
    <n v="6017.69911504425"/>
    <s v="Chris"/>
    <s v="Approved"/>
    <s v="No"/>
    <m/>
  </r>
  <r>
    <s v="Pen 800 Full 2.0"/>
    <s v="MODI"/>
    <s v="Heater top cover"/>
    <s v="/"/>
    <s v="Dongguan Wellsun Plastic"/>
    <n v="2024"/>
    <n v="1"/>
    <s v="DP"/>
    <d v="2024-11-01T00:00:00"/>
    <n v="2"/>
    <m/>
    <n v="0"/>
    <n v="500000"/>
    <x v="2"/>
    <d v="2024-01-05T00:00:00"/>
    <n v="28318.5840707965"/>
    <n v="1"/>
    <n v="28318.5840707965"/>
    <s v="Chris"/>
    <s v="Approved"/>
    <s v="No"/>
    <m/>
  </r>
  <r>
    <s v="Pen 800 Full 2.0"/>
    <s v="MODI"/>
    <s v="Heating holder"/>
    <s v="/"/>
    <s v="Dongguan Wellsun Plastic"/>
    <n v="2023"/>
    <n v="9"/>
    <s v="DP"/>
    <d v="2024-11-01T00:00:00"/>
    <n v="2"/>
    <m/>
    <n v="0"/>
    <n v="500000"/>
    <x v="2"/>
    <d v="2023-09-28T00:00:00"/>
    <n v="3539.8230088495602"/>
    <n v="1"/>
    <n v="3539.8230088495602"/>
    <s v="Chris"/>
    <s v="Approved"/>
    <s v="No"/>
    <m/>
  </r>
  <r>
    <s v="Pen 800 Full 2.0"/>
    <s v="MODI"/>
    <s v="Inner bracket"/>
    <s v="130040670017662"/>
    <s v="Dongguan Wellsun Plastic"/>
    <n v="2023"/>
    <n v="11"/>
    <s v="DP"/>
    <d v="2024-11-01T00:00:00"/>
    <n v="2"/>
    <m/>
    <n v="0"/>
    <n v="500000"/>
    <x v="2"/>
    <d v="2023-11-10T00:00:00"/>
    <n v="10619.469026548701"/>
    <n v="1"/>
    <n v="10619.469026548701"/>
    <s v="Chris"/>
    <s v="Approved"/>
    <s v="No"/>
    <m/>
  </r>
  <r>
    <s v="Pen 800 Full 2.0"/>
    <s v="MODI"/>
    <s v="Inner bracket"/>
    <s v="130040670017662"/>
    <s v="Dongguan Wellsun Plastic"/>
    <n v="2023"/>
    <n v="12"/>
    <s v="DP"/>
    <d v="2024-11-01T00:00:00"/>
    <n v="2"/>
    <m/>
    <n v="0"/>
    <n v="500000"/>
    <x v="2"/>
    <d v="2023-12-06T00:00:00"/>
    <n v="5132.7433628318604"/>
    <n v="1"/>
    <n v="5132.7433628318604"/>
    <s v="Chris"/>
    <s v="Approved"/>
    <s v="No"/>
    <m/>
  </r>
  <r>
    <s v="Pen 800 Full 2.0"/>
    <s v="MODI"/>
    <s v="Inner bracket"/>
    <s v="130040670017662"/>
    <s v="Dongguan Wellsun Plastic"/>
    <n v="2024"/>
    <n v="1"/>
    <s v="DP"/>
    <d v="2024-11-01T00:00:00"/>
    <n v="2"/>
    <m/>
    <n v="0"/>
    <n v="500000"/>
    <x v="2"/>
    <d v="2024-01-08T00:00:00"/>
    <n v="6371.6814159291998"/>
    <n v="1"/>
    <n v="6371.6814159291998"/>
    <s v="Chris"/>
    <s v="Approved"/>
    <s v="No"/>
    <m/>
  </r>
  <r>
    <s v="Pen 800 Full 2.0"/>
    <s v="MODI"/>
    <s v="Cartridge tank"/>
    <s v="/"/>
    <s v="Dongguan Wellsun Plastic"/>
    <n v="2023"/>
    <n v="11"/>
    <s v="DP"/>
    <d v="2024-11-01T00:00:00"/>
    <n v="2"/>
    <m/>
    <n v="0"/>
    <n v="500000"/>
    <x v="2"/>
    <d v="2023-11-13T00:00:00"/>
    <n v="7522.1238938053102"/>
    <n v="1"/>
    <n v="7522.1238938053102"/>
    <s v="Chris"/>
    <s v="Approved"/>
    <s v="No"/>
    <m/>
  </r>
  <r>
    <s v="Pen 800 Full 2.0"/>
    <s v="MODI"/>
    <s v="Cartridge tank"/>
    <s v="/"/>
    <s v="Dongguan Wellsun Plastic"/>
    <n v="2023"/>
    <n v="11"/>
    <s v="DP"/>
    <d v="2024-11-01T00:00:00"/>
    <n v="2"/>
    <m/>
    <n v="0"/>
    <n v="500000"/>
    <x v="2"/>
    <d v="2023-11-13T00:00:00"/>
    <n v="21238.938053097299"/>
    <n v="1"/>
    <n v="21238.938053097299"/>
    <s v="Chris"/>
    <s v="Approved"/>
    <s v="No"/>
    <m/>
  </r>
  <r>
    <s v="Pen 800 Full 2.0"/>
    <s v="MODI"/>
    <s v="Inner bracket"/>
    <s v="130040670017662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s v="No"/>
    <m/>
  </r>
  <r>
    <s v="Pen 800 Full 2.0"/>
    <s v="MODI"/>
    <s v="Button"/>
    <s v="130040670017669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s v="No"/>
    <m/>
  </r>
  <r>
    <s v="Pen 800 Full 2.0"/>
    <s v="MODI"/>
    <s v="Battery module top cover"/>
    <s v="130040670017658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s v="No"/>
    <m/>
  </r>
  <r>
    <s v="Pen 800 Full 2.0"/>
    <s v="MODI"/>
    <s v="Cartridge tank"/>
    <s v="/"/>
    <s v="Dongguan Wellsun Plastic"/>
    <n v="2023"/>
    <n v="9"/>
    <s v="DP"/>
    <d v="2024-11-01T00:00:00"/>
    <n v="2"/>
    <m/>
    <n v="0"/>
    <n v="500000"/>
    <x v="1"/>
    <d v="2023-09-22T00:00:00"/>
    <n v="62831.858407079599"/>
    <n v="1"/>
    <n v="62831.858407079599"/>
    <s v="Chris"/>
    <s v="Approved"/>
    <s v="No"/>
    <m/>
  </r>
  <r>
    <s v="Pen 800 Full 2.0"/>
    <s v="MODI"/>
    <s v="Heating holder"/>
    <s v="/"/>
    <s v="Dongguan Wellsun Plastic"/>
    <n v="2023"/>
    <n v="9"/>
    <s v="DP"/>
    <d v="2024-11-01T00:00:00"/>
    <n v="2"/>
    <m/>
    <n v="0"/>
    <n v="500000"/>
    <x v="1"/>
    <d v="2023-09-22T00:00:00"/>
    <n v="61946.902654867299"/>
    <n v="1"/>
    <n v="61946.902654867299"/>
    <s v="Chris"/>
    <s v="Approved"/>
    <s v="No"/>
    <m/>
  </r>
  <r>
    <s v="Pen 800 Full 2.0"/>
    <s v="MODI"/>
    <s v="Heater top cover"/>
    <s v="/"/>
    <s v="Dongguan Wellsun Plastic"/>
    <n v="2023"/>
    <n v="9"/>
    <s v="DP"/>
    <d v="2024-11-01T00:00:00"/>
    <n v="2"/>
    <m/>
    <n v="0"/>
    <n v="500000"/>
    <x v="1"/>
    <d v="2023-09-22T00:00:00"/>
    <n v="57522.123893805299"/>
    <n v="1"/>
    <n v="57522.123893805299"/>
    <s v="Chris"/>
    <s v="Approved"/>
    <s v="No"/>
    <m/>
  </r>
  <r>
    <s v="Pen 800 Full 2.0"/>
    <s v="MODI"/>
    <s v="Bottom cover"/>
    <s v="130040670017656"/>
    <s v="Dongguan Wellsun Plastic"/>
    <n v="2023"/>
    <n v="9"/>
    <s v="DP"/>
    <d v="2024-11-01T00:00:00"/>
    <n v="2"/>
    <m/>
    <n v="0"/>
    <n v="500000"/>
    <x v="1"/>
    <d v="2023-09-22T00:00:00"/>
    <n v="57522.123893805299"/>
    <n v="1"/>
    <n v="57522.123893805299"/>
    <s v="Chris"/>
    <s v="Approved"/>
    <s v="No"/>
    <m/>
  </r>
  <r>
    <s v="Pen 800 Full 2.0"/>
    <s v="MODI"/>
    <s v="Inner bracket"/>
    <s v="130040670017662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s v="No"/>
    <m/>
  </r>
  <r>
    <s v="Pen 800 Default 2.0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13T00:00:00"/>
    <n v="8500"/>
    <n v="1"/>
    <n v="8500"/>
    <s v="Chris"/>
    <s v="Approved"/>
    <s v="No"/>
    <m/>
  </r>
  <r>
    <s v="Pen 800 Default 2.0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13T00:00:00"/>
    <n v="24000"/>
    <n v="1"/>
    <n v="24000"/>
    <s v="Chris"/>
    <s v="Approved"/>
    <s v="No"/>
    <m/>
  </r>
  <r>
    <s v="KUMA E-Pen 1.0 ROW"/>
    <s v="RCS DEVICE"/>
    <s v="Bottom Plug"/>
    <s v="130010670092441"/>
    <s v="Dongguan Wellsun Plastic"/>
    <n v="2024"/>
    <n v="9"/>
    <s v="DP"/>
    <d v="2024-11-01T00:00:00"/>
    <n v="2"/>
    <m/>
    <n v="0"/>
    <n v="500000"/>
    <x v="1"/>
    <d v="2024-09-11T00:00:00"/>
    <n v="28318.5840707965"/>
    <n v="1"/>
    <n v="28318.5840707965"/>
    <s v="Chris"/>
    <s v="Approved"/>
    <s v="No"/>
    <m/>
  </r>
  <r>
    <s v="Alto Pod "/>
    <s v="RCS POD"/>
    <s v="Cartridge Tube"/>
    <s v="130010390000214"/>
    <s v="Indonesia Wellsun Plastic"/>
    <n v="2024"/>
    <n v="10"/>
    <s v="POA"/>
    <d v="2024-11-14T00:00:00"/>
    <n v="16"/>
    <n v="1241856"/>
    <n v="16144128"/>
    <n v="1000000"/>
    <x v="0"/>
    <d v="2024-10-28T00:00:00"/>
    <n v="669240"/>
    <n v="13"/>
    <n v="8700120"/>
    <s v="Chris"/>
    <s v="Approved"/>
    <s v="No"/>
    <s v="印尼项目美金结算"/>
  </r>
  <r>
    <s v="Alto Pod "/>
    <s v="RCS POD"/>
    <s v="Heating holder"/>
    <s v="130010390000215"/>
    <s v="Indonesia Wellsun Plastic"/>
    <n v="2024"/>
    <n v="10"/>
    <s v="POA"/>
    <d v="2024-11-14T00:00:00"/>
    <n v="32"/>
    <n v="3089786"/>
    <n v="15448930"/>
    <n v="1000000"/>
    <x v="0"/>
    <d v="2024-10-28T00:00:00"/>
    <n v="828713.60000000009"/>
    <n v="5"/>
    <n v="4143568.0000000005"/>
    <s v="Chris"/>
    <s v="Approved"/>
    <s v="No"/>
    <s v="印尼项目美金结算"/>
  </r>
  <r>
    <s v="Alto Pod "/>
    <s v="RCS POD"/>
    <s v="Cartomizer Holder Tap"/>
    <s v="130010390000216"/>
    <s v="Indonesia Wellsun Plastic"/>
    <n v="2024"/>
    <n v="10"/>
    <s v="POA"/>
    <d v="2024-11-14T00:00:00"/>
    <n v="32"/>
    <n v="3075072"/>
    <n v="18450432"/>
    <n v="1000000"/>
    <x v="0"/>
    <d v="2024-10-28T00:00:00"/>
    <n v="643864.65"/>
    <n v="6"/>
    <n v="3863187.9000000004"/>
    <s v="Chris"/>
    <s v="Approved"/>
    <s v="No"/>
    <s v="印尼项目美金结算"/>
  </r>
  <r>
    <s v="Alto Pod "/>
    <s v="RCS POD"/>
    <s v="Heater top cover"/>
    <s v="130010390000221"/>
    <s v="Indonesia Wellsun Plastic"/>
    <n v="2024"/>
    <n v="10"/>
    <s v="POA"/>
    <d v="2024-11-14T00:00:00"/>
    <n v="32"/>
    <n v="3089786"/>
    <n v="15448930"/>
    <n v="1000000"/>
    <x v="0"/>
    <d v="2024-10-28T00:00:00"/>
    <n v="828713.60000000009"/>
    <n v="5"/>
    <n v="4143568.0000000005"/>
    <s v="Chris"/>
    <s v="Approved"/>
    <s v="No"/>
    <s v="印尼项目美金结算"/>
  </r>
  <r>
    <s v="HESTIA MAX (non smart)"/>
    <s v="RCS POD"/>
    <s v="Cartridge tank"/>
    <s v="130010670084791"/>
    <s v="Dongguan Wellsun Plastic"/>
    <n v="2024"/>
    <n v="12"/>
    <s v="POA"/>
    <d v="2025-01-07T00:00:00"/>
    <n v="2"/>
    <m/>
    <n v="0"/>
    <n v="500000"/>
    <x v="2"/>
    <d v="2024-12-26T00:00:00"/>
    <n v="6800"/>
    <n v="1"/>
    <n v="6800"/>
    <s v="Chris"/>
    <s v="Approved"/>
    <s v="No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x v="0"/>
    <s v="RCS DEVICE"/>
    <s v="Top cover"/>
    <s v="130040670013934"/>
    <s v="Dongguan Wellsun Plastic"/>
    <m/>
    <s v="Plastic"/>
    <x v="0"/>
    <x v="0"/>
    <d v="2024-11-22T00:00:00"/>
    <m/>
    <n v="1.345"/>
    <n v="1.3862999999999999"/>
    <n v="4.1300000000000003E-2"/>
    <n v="0"/>
    <n v="1"/>
    <n v="1.345"/>
    <n v="811850"/>
    <n v="4210244"/>
    <n v="1100000"/>
    <n v="926116.92280000006"/>
    <s v="LG PC LUPOY  GP1000ML"/>
    <s v="Yellow,Aqua,Orange,Black,Red,Blue"/>
    <n v="9.1999999999999993"/>
    <m/>
    <s v="Printing"/>
    <n v="0.85170000000000001"/>
    <n v="1125467.6549999998"/>
    <n v="691452.64500000002"/>
    <n v="7469.0199999999986"/>
    <s v="分摊单价差额导致108,800 RMB需支付"/>
  </r>
  <r>
    <x v="0"/>
    <s v="RCS DEVICE"/>
    <s v="Top cover"/>
    <s v="130040670013934"/>
    <s v="Dongguan Wellsun Plastic"/>
    <m/>
    <s v="Plastic"/>
    <x v="0"/>
    <x v="1"/>
    <d v="2024-11-22T00:00:00"/>
    <m/>
    <n v="1.345"/>
    <n v="1.3863000000000001"/>
    <n v="4.1300000000000003E-2"/>
    <n v="0"/>
    <n v="1"/>
    <n v="1.345"/>
    <n v="519430"/>
    <n v="3398394"/>
    <n v="1100000"/>
    <n v="959646.32779999997"/>
    <s v="LG PC LUPOY  GP1000ML"/>
    <s v="Yellow,Aqua,Orange,Black,Red,Blue"/>
    <n v="9.1999999999999993"/>
    <m/>
    <s v="Printing"/>
    <n v="0.85170000000000001"/>
    <n v="720085.80900000001"/>
    <n v="442398.53100000002"/>
    <n v="4778.7560000000003"/>
    <m/>
  </r>
  <r>
    <x v="0"/>
    <s v="RCS DEVICE"/>
    <s v="Top cover"/>
    <s v="130040670013934"/>
    <s v="Dongguan Wellsun Plastic"/>
    <m/>
    <s v="Plastic"/>
    <x v="0"/>
    <x v="2"/>
    <d v="2024-11-22T00:00:00"/>
    <m/>
    <n v="1.345"/>
    <n v="1.3863000000000001"/>
    <n v="4.1300000000000003E-2"/>
    <n v="0"/>
    <n v="1"/>
    <n v="1.345"/>
    <n v="262456"/>
    <n v="2878964"/>
    <n v="1100000"/>
    <n v="981098.7868"/>
    <s v="LG PC LUPOY  GP1000ML"/>
    <s v="Yellow,Aqua,Orange,Black,Red,Blue"/>
    <n v="9.1999999999999993"/>
    <m/>
    <s v="Printing"/>
    <n v="0.85170000000000001"/>
    <n v="363842.75280000002"/>
    <n v="223533.7752"/>
    <n v="2414.5951999999997"/>
    <m/>
  </r>
  <r>
    <x v="0"/>
    <s v="RCS DEVICE"/>
    <s v="Top cover"/>
    <s v="130040670013934"/>
    <s v="Dongguan Wellsun Plastic"/>
    <m/>
    <s v="Plastic"/>
    <x v="0"/>
    <x v="3"/>
    <d v="2024-11-22T00:00:00"/>
    <m/>
    <n v="1.345"/>
    <n v="1.3863000000000001"/>
    <n v="4.1300000000000003E-2"/>
    <n v="0"/>
    <n v="1"/>
    <n v="1.345"/>
    <n v="937093"/>
    <n v="2616508"/>
    <n v="1100000"/>
    <n v="991938.21959999995"/>
    <s v="LG PC LUPOY  GP1000ML"/>
    <s v="Yellow,Aqua,Orange,Black,Red,Blue"/>
    <n v="9.1999999999999993"/>
    <m/>
    <s v="Printing"/>
    <n v="0.85170000000000001"/>
    <n v="1299092.0259"/>
    <n v="798122.10809999995"/>
    <n v="8621.2556000000004"/>
    <m/>
  </r>
  <r>
    <x v="0"/>
    <s v="RCS DEVICE"/>
    <s v="Top cover"/>
    <s v="130040670013934"/>
    <s v="Dongguan Wellsun Plastic"/>
    <m/>
    <s v="Plastic"/>
    <x v="0"/>
    <x v="4"/>
    <d v="2024-11-22T00:00:00"/>
    <m/>
    <n v="1.345"/>
    <n v="1.3863000000000001"/>
    <n v="4.1300000000000003E-2"/>
    <n v="0"/>
    <n v="1"/>
    <n v="1.345"/>
    <n v="996174"/>
    <n v="1679415"/>
    <n v="1100000"/>
    <n v="1030640.1605"/>
    <s v="LG PC LUPOY  GP1000ML"/>
    <s v="Yellow,Aqua,Orange,Black,Red,Blue"/>
    <n v="9.1999999999999993"/>
    <m/>
    <s v="Printing"/>
    <n v="0.85170000000000001"/>
    <n v="1380996.0162000002"/>
    <n v="848441.39580000006"/>
    <n v="9164.8007999999991"/>
    <m/>
  </r>
  <r>
    <x v="0"/>
    <s v="RCS DEVICE"/>
    <s v="Top cover"/>
    <s v="130040670013934"/>
    <s v="Dongguan Wellsun Plastic"/>
    <m/>
    <s v="Plastic"/>
    <x v="0"/>
    <x v="5"/>
    <d v="2024-11-22T00:00:00"/>
    <m/>
    <n v="1.345"/>
    <n v="1.3863000000000001"/>
    <n v="4.1300000000000003E-2"/>
    <n v="0"/>
    <n v="1"/>
    <n v="1.345"/>
    <n v="656888"/>
    <n v="683241"/>
    <n v="1100000"/>
    <n v="1071782.1466999999"/>
    <s v="LG PC LUPOY  GP1000ML"/>
    <s v="Yellow,Aqua,Orange,Black,Red,Blue"/>
    <n v="9.1999999999999993"/>
    <m/>
    <s v="Printing"/>
    <n v="0.85170000000000001"/>
    <n v="910643.83440000005"/>
    <n v="559471.50959999999"/>
    <n v="6043.3696"/>
    <m/>
  </r>
  <r>
    <x v="0"/>
    <s v="RCS DEVICE"/>
    <s v="Top cover"/>
    <s v="130040670013934"/>
    <s v="Dongguan Wellsun Plastic"/>
    <m/>
    <s v="Plastic"/>
    <x v="0"/>
    <x v="6"/>
    <d v="2024-11-22T00:00:00"/>
    <m/>
    <n v="1.345"/>
    <n v="1.3863000000000001"/>
    <n v="4.1300000000000003E-2"/>
    <n v="0"/>
    <n v="1"/>
    <n v="1.345"/>
    <n v="7800"/>
    <n v="26353"/>
    <n v="1100000"/>
    <n v="1098911.6211000001"/>
    <s v="LG PC LUPOY  GP1000ML"/>
    <s v="Yellow,Aqua,Orange,Black,Red,Blue"/>
    <n v="9.1999999999999993"/>
    <m/>
    <s v="Printing"/>
    <n v="0.85170000000000001"/>
    <n v="10813.140000000001"/>
    <n v="6643.26"/>
    <n v="71.760000000000005"/>
    <m/>
  </r>
  <r>
    <x v="0"/>
    <s v="RCS DEVICE"/>
    <s v="Top cover"/>
    <s v="130040670013934"/>
    <s v="Dongguan Wellsun Plastic"/>
    <m/>
    <s v="Plastic"/>
    <x v="0"/>
    <x v="7"/>
    <d v="2024-11-22T00:00:00"/>
    <m/>
    <n v="1.345"/>
    <n v="1.3863000000000001"/>
    <n v="4.1300000000000003E-2"/>
    <n v="0"/>
    <n v="1"/>
    <n v="1.345"/>
    <n v="2100"/>
    <n v="18553"/>
    <n v="1100000"/>
    <n v="1099233.7611"/>
    <s v="LG PC LUPOY  GP1000ML"/>
    <s v="Yellow,Aqua,Orange,Black,Red,Blue"/>
    <n v="9.1999999999999993"/>
    <m/>
    <s v="Printing"/>
    <n v="0.85170000000000001"/>
    <n v="2911.23"/>
    <n v="1788.57"/>
    <n v="19.32"/>
    <m/>
  </r>
  <r>
    <x v="0"/>
    <s v="RCS DEVICE"/>
    <s v="Top cover"/>
    <s v="130040670013934"/>
    <s v="Dongguan Wellsun Plastic"/>
    <m/>
    <s v="Plastic"/>
    <x v="1"/>
    <x v="8"/>
    <d v="2024-11-22T00:00:00"/>
    <m/>
    <n v="1.345"/>
    <n v="1.3863000000000001"/>
    <n v="4.1300000000000003E-2"/>
    <n v="0"/>
    <n v="1"/>
    <n v="1.345"/>
    <n v="12500"/>
    <n v="16453"/>
    <n v="1100000"/>
    <n v="1099320.4911"/>
    <s v="LG PC LUPOY  GP1000ML"/>
    <s v="Yellow,Aqua,Orange,Black,Red,Blue"/>
    <n v="9.1999999999999993"/>
    <m/>
    <s v="Printing"/>
    <n v="0.85170000000000001"/>
    <n v="17328.75"/>
    <n v="10646.25"/>
    <n v="114.99999999999999"/>
    <m/>
  </r>
  <r>
    <x v="0"/>
    <s v="RCS DEVICE"/>
    <s v="Top cover"/>
    <s v="130040670013934"/>
    <s v="Dongguan Wellsun Plastic"/>
    <m/>
    <s v="Plastic"/>
    <x v="1"/>
    <x v="9"/>
    <d v="2024-11-22T00:00:00"/>
    <m/>
    <n v="1.345"/>
    <n v="1.3863000000000001"/>
    <n v="4.1300000000000003E-2"/>
    <n v="0"/>
    <n v="1"/>
    <n v="1.345"/>
    <n v="3953"/>
    <n v="3953"/>
    <n v="1100000"/>
    <n v="1099836.7411"/>
    <s v="LG PC LUPOY  GP1000ML"/>
    <s v="Yellow,Aqua,Orange,Black,Red,Blue"/>
    <n v="9.1999999999999993"/>
    <m/>
    <s v="Printing"/>
    <n v="0.85170000000000001"/>
    <n v="5480.0439000000006"/>
    <n v="3366.7701000000002"/>
    <n v="36.367599999999996"/>
    <m/>
  </r>
  <r>
    <x v="0"/>
    <s v="RCS DEVICE"/>
    <s v="Top cover"/>
    <s v="130040670013934"/>
    <s v="Dongguan Wellsun Plastic"/>
    <m/>
    <s v="Plastic"/>
    <x v="0"/>
    <x v="10"/>
    <d v="2024-11-22T00:00:00"/>
    <m/>
    <n v="1.345"/>
    <n v="1.3863000000000001"/>
    <n v="4.1300000000000003E-2"/>
    <m/>
    <n v="1"/>
    <n v="1.345"/>
    <n v="194085"/>
    <n v="4404329"/>
    <n v="1100000"/>
    <n v="918101.21230000001"/>
    <s v="LG PC LUPOY  GP1000ML"/>
    <s v="Yellow,Aqua,Orange,Black,Red,Blue"/>
    <n v="9.1999999999999993"/>
    <m/>
    <s v="Printing"/>
    <n v="0.85170000000000001"/>
    <n v="269060.0355"/>
    <n v="165302.19450000001"/>
    <n v="1785.5819999999999"/>
    <s v="分摊单价差额导致108,800 RMB需支付"/>
  </r>
  <r>
    <x v="0"/>
    <s v="RCS DEVICE"/>
    <s v="Top cover"/>
    <s v="130040670013934"/>
    <s v="Dongguan Wellsun Plastic"/>
    <m/>
    <s v="Plastic"/>
    <x v="0"/>
    <x v="9"/>
    <d v="2024-12-03T00:00:00"/>
    <m/>
    <n v="1.345"/>
    <n v="1.3863000000000001"/>
    <n v="4.1300000000000003E-2"/>
    <m/>
    <n v="1"/>
    <n v="1.345"/>
    <n v="210740"/>
    <n v="4615069"/>
    <n v="1100000"/>
    <n v="909397.65029999998"/>
    <s v="LG PC LUPOY  GP1000ML"/>
    <s v="Yellow,Aqua,Orange,Black,Red,Blue"/>
    <n v="9.1999999999999993"/>
    <m/>
    <s v="Printing"/>
    <n v="0.85170000000000001"/>
    <n v="292148.86200000002"/>
    <n v="179487.258"/>
    <n v="1938.8079999999998"/>
    <m/>
  </r>
  <r>
    <x v="0"/>
    <s v="RCS DEVICE"/>
    <s v="Top cover"/>
    <s v="130040670013934"/>
    <s v="Dongguan Wellsun Plastic"/>
    <m/>
    <s v="Plastic"/>
    <x v="0"/>
    <x v="8"/>
    <d v="2025-01-07T00:00:00"/>
    <m/>
    <n v="1.345"/>
    <n v="1.3863000000000001"/>
    <n v="4.1300000000000003E-2"/>
    <m/>
    <n v="1"/>
    <n v="1.345"/>
    <n v="404701"/>
    <n v="5019770"/>
    <n v="1100000"/>
    <n v="892683.49899999995"/>
    <s v="LG PC LUPOY  GP1000ML"/>
    <s v="Yellow,Aqua,Orange,Black,Red,Blue"/>
    <n v="9.1999999999999993"/>
    <m/>
    <s v="Printing"/>
    <n v="0.85170000000000001"/>
    <n v="561036.9963"/>
    <n v="344683.84169999999"/>
    <n v="3723.2491999999997"/>
    <m/>
  </r>
  <r>
    <x v="0"/>
    <s v="RCS DEVICE"/>
    <s v="Top cover"/>
    <s v="130040670013934"/>
    <s v="Dongguan Wellsun Plastic"/>
    <m/>
    <s v="Plastic"/>
    <x v="2"/>
    <x v="7"/>
    <d v="2025-02-13T00:00:00"/>
    <m/>
    <n v="1.345"/>
    <n v="1.3863000000000001"/>
    <n v="4.1300000000000003E-2"/>
    <m/>
    <n v="1"/>
    <n v="1.345"/>
    <n v="18440"/>
    <n v="5230989"/>
    <n v="1100000"/>
    <n v="883960.15430000005"/>
    <s v="LG PC LUPOY  GP1000ML"/>
    <s v="Aqua"/>
    <n v="9.1999999999999993"/>
    <m/>
    <s v="Printing"/>
    <n v="0.85170000000000001"/>
    <n v="25563.372000000003"/>
    <n v="15705.348"/>
    <n v="169.648"/>
    <m/>
  </r>
  <r>
    <x v="0"/>
    <s v="RCS DEVICE"/>
    <s v="Top cover"/>
    <s v="130040670013934"/>
    <s v="Dongguan Wellsun Plastic"/>
    <m/>
    <s v="Plastic"/>
    <x v="2"/>
    <x v="7"/>
    <d v="2025-02-13T00:00:00"/>
    <m/>
    <n v="1.345"/>
    <n v="1.3863000000000001"/>
    <n v="4.1300000000000003E-2"/>
    <m/>
    <n v="1"/>
    <n v="1.345"/>
    <n v="53574"/>
    <m/>
    <m/>
    <m/>
    <s v="LG PC LUPOY  GP1000ML"/>
    <s v="Black"/>
    <n v="9.1999999999999993"/>
    <m/>
    <s v="Printing"/>
    <n v="0.85170000000000001"/>
    <n v="74269.636200000008"/>
    <n v="45628.9758"/>
    <n v="492.88079999999997"/>
    <m/>
  </r>
  <r>
    <x v="0"/>
    <s v="RCS DEVICE"/>
    <s v="Top cover"/>
    <s v="130040670013934"/>
    <s v="Dongguan Wellsun Plastic"/>
    <m/>
    <s v="Plastic"/>
    <x v="2"/>
    <x v="7"/>
    <d v="2025-02-13T00:00:00"/>
    <m/>
    <n v="1.345"/>
    <n v="1.3863000000000001"/>
    <n v="4.1300000000000003E-2"/>
    <m/>
    <n v="1"/>
    <n v="1.345"/>
    <n v="39659"/>
    <m/>
    <m/>
    <m/>
    <s v="LG PC LUPOY  GP1000ML"/>
    <s v="Blue"/>
    <n v="9.1999999999999993"/>
    <m/>
    <s v="Printing"/>
    <n v="0.85170000000000001"/>
    <n v="54979.271700000005"/>
    <n v="33777.570299999999"/>
    <n v="364.86279999999999"/>
    <m/>
  </r>
  <r>
    <x v="0"/>
    <s v="RCS DEVICE"/>
    <s v="Top cover"/>
    <s v="130040670013934"/>
    <s v="Dongguan Wellsun Plastic"/>
    <m/>
    <s v="Plastic"/>
    <x v="2"/>
    <x v="7"/>
    <d v="2025-02-13T00:00:00"/>
    <m/>
    <n v="1.345"/>
    <n v="1.3863000000000001"/>
    <n v="4.1300000000000003E-2"/>
    <m/>
    <n v="1"/>
    <n v="1.345"/>
    <n v="29514"/>
    <m/>
    <m/>
    <m/>
    <s v="LG PC LUPOY  GP1000ML"/>
    <s v="Orange"/>
    <n v="9.1999999999999993"/>
    <m/>
    <s v="Printing"/>
    <n v="0.85170000000000001"/>
    <n v="40915.258200000004"/>
    <n v="25137.073800000002"/>
    <n v="271.52879999999999"/>
    <m/>
  </r>
  <r>
    <x v="0"/>
    <s v="RCS DEVICE"/>
    <s v="Top cover"/>
    <s v="130040670013934"/>
    <s v="Dongguan Wellsun Plastic"/>
    <m/>
    <s v="Plastic"/>
    <x v="2"/>
    <x v="7"/>
    <d v="2025-02-13T00:00:00"/>
    <m/>
    <n v="1.345"/>
    <n v="1.3863000000000001"/>
    <n v="4.1300000000000003E-2"/>
    <m/>
    <n v="1"/>
    <n v="1.345"/>
    <n v="35204"/>
    <m/>
    <m/>
    <m/>
    <s v="LG PC LUPOY  GP1000ML"/>
    <s v="Red"/>
    <n v="9.1999999999999993"/>
    <m/>
    <s v="Printing"/>
    <n v="0.85170000000000001"/>
    <n v="48803.305200000003"/>
    <n v="29983.246800000001"/>
    <n v="323.8768"/>
    <m/>
  </r>
  <r>
    <x v="0"/>
    <s v="RCS DEVICE"/>
    <s v="Top cover"/>
    <s v="130040670013934"/>
    <s v="Dongguan Wellsun Plastic"/>
    <m/>
    <s v="Plastic"/>
    <x v="2"/>
    <x v="7"/>
    <d v="2025-02-13T00:00:00"/>
    <m/>
    <n v="1.345"/>
    <n v="1.3863000000000001"/>
    <n v="4.1300000000000003E-2"/>
    <m/>
    <n v="1"/>
    <n v="1.345"/>
    <n v="34828"/>
    <m/>
    <m/>
    <m/>
    <s v="LG PC LUPOY  GP1000ML"/>
    <s v="Yellow"/>
    <n v="9.1999999999999993"/>
    <m/>
    <s v="Printing"/>
    <n v="0.85170000000000001"/>
    <n v="48282.056400000001"/>
    <n v="29663.007600000001"/>
    <n v="320.41759999999999"/>
    <m/>
  </r>
  <r>
    <x v="0"/>
    <s v="RCS DEVICE"/>
    <s v="Top cover"/>
    <s v="130040670013934"/>
    <s v="Dongguan Wellsun Plastic"/>
    <m/>
    <s v="Plastic"/>
    <x v="2"/>
    <x v="11"/>
    <d v="2025-03-06T00:00:00"/>
    <m/>
    <n v="1.2152000000000001"/>
    <n v="1.2565"/>
    <n v="4.1300000000000003E-2"/>
    <m/>
    <n v="1"/>
    <n v="1.2152000000000001"/>
    <n v="46653"/>
    <n v="5352642"/>
    <n v="1100000"/>
    <n v="878935.88540000003"/>
    <s v="LG PC LUPOY  GP1000ML"/>
    <s v="Blue"/>
    <n v="9.1999999999999993"/>
    <m/>
    <s v="Printing"/>
    <n v="0.85170000000000001"/>
    <n v="58619.494500000001"/>
    <n v="39734.360099999998"/>
    <n v="429.20759999999996"/>
    <m/>
  </r>
  <r>
    <x v="0"/>
    <s v="RCS DEVICE"/>
    <s v="Top cover"/>
    <s v="130040670013934"/>
    <s v="Dongguan Wellsun Plastic"/>
    <m/>
    <s v="Plastic"/>
    <x v="2"/>
    <x v="11"/>
    <d v="2025-03-06T00:00:00"/>
    <m/>
    <n v="1.2152000000000001"/>
    <n v="1.2565"/>
    <n v="4.1300000000000003E-2"/>
    <m/>
    <n v="1"/>
    <n v="1.2152000000000001"/>
    <n v="16500"/>
    <m/>
    <m/>
    <m/>
    <s v="LG PC LUPOY  GP1000ML"/>
    <s v="Aqua"/>
    <n v="9.1999999999999993"/>
    <m/>
    <s v="Printing"/>
    <n v="0.85170000000000001"/>
    <n v="20732.25"/>
    <n v="14053.050000000001"/>
    <n v="151.80000000000001"/>
    <m/>
  </r>
  <r>
    <x v="0"/>
    <s v="RCS DEVICE"/>
    <s v="Top cover"/>
    <s v="130040670013934"/>
    <s v="Dongguan Wellsun Plastic"/>
    <m/>
    <s v="Plastic"/>
    <x v="2"/>
    <x v="11"/>
    <d v="2025-03-06T00:00:00"/>
    <m/>
    <n v="1.2152000000000001"/>
    <n v="1.2565"/>
    <n v="4.1300000000000003E-2"/>
    <m/>
    <n v="1"/>
    <n v="1.2152000000000001"/>
    <n v="5500"/>
    <m/>
    <m/>
    <m/>
    <s v="LG PC LUPOY  GP1000ML"/>
    <s v="Yellow"/>
    <n v="9.1999999999999993"/>
    <m/>
    <s v="Printing"/>
    <n v="0.85170000000000001"/>
    <n v="6910.75"/>
    <n v="4684.3500000000004"/>
    <n v="50.599999999999994"/>
    <m/>
  </r>
  <r>
    <x v="0"/>
    <s v="RCS DEVICE"/>
    <s v="Top cover"/>
    <s v="130040670013934"/>
    <s v="Dongguan Wellsun Plastic"/>
    <m/>
    <s v="Plastic"/>
    <x v="2"/>
    <x v="11"/>
    <d v="2025-03-06T00:00:00"/>
    <m/>
    <n v="1.2152000000000001"/>
    <n v="1.2565"/>
    <n v="4.1300000000000003E-2"/>
    <m/>
    <n v="1"/>
    <n v="1.2152000000000001"/>
    <n v="10500"/>
    <m/>
    <m/>
    <m/>
    <s v="LG PC LUPOY  GP1000ML"/>
    <s v="Orange"/>
    <n v="9.1999999999999993"/>
    <m/>
    <s v="Printing"/>
    <n v="0.85170000000000001"/>
    <n v="13193.25"/>
    <n v="8942.85"/>
    <n v="96.59999999999998"/>
    <m/>
  </r>
  <r>
    <x v="0"/>
    <s v="RCS DEVICE"/>
    <s v="Top cover"/>
    <s v="130040670013934"/>
    <s v="Dongguan Wellsun Plastic"/>
    <m/>
    <s v="Plastic"/>
    <x v="2"/>
    <x v="11"/>
    <d v="2025-03-06T00:00:00"/>
    <m/>
    <n v="1.2152000000000001"/>
    <n v="1.2565"/>
    <n v="4.1300000000000003E-2"/>
    <m/>
    <n v="1"/>
    <n v="1.2152000000000001"/>
    <n v="10000"/>
    <m/>
    <m/>
    <m/>
    <s v="LG PC LUPOY  GP1000ML"/>
    <s v="Red"/>
    <n v="9.1999999999999993"/>
    <m/>
    <s v="Printing"/>
    <n v="0.85170000000000001"/>
    <n v="12565"/>
    <n v="8517"/>
    <n v="92"/>
    <m/>
  </r>
  <r>
    <x v="0"/>
    <s v="RCS DEVICE"/>
    <s v="Top cover"/>
    <s v="130040670013934"/>
    <s v="Dongguan Wellsun Plastic"/>
    <m/>
    <s v="Plastic"/>
    <x v="2"/>
    <x v="11"/>
    <d v="2025-03-06T00:00:00"/>
    <m/>
    <n v="1.2152000000000001"/>
    <n v="1.2565"/>
    <n v="4.1300000000000003E-2"/>
    <m/>
    <n v="1"/>
    <n v="1.2152000000000001"/>
    <n v="32500"/>
    <m/>
    <m/>
    <m/>
    <s v="LG PC LUPOY  GP1000ML"/>
    <s v="Black"/>
    <n v="9.1999999999999993"/>
    <m/>
    <s v="Printing"/>
    <n v="0.85170000000000001"/>
    <n v="40836.25"/>
    <n v="27680.25"/>
    <n v="299"/>
    <m/>
  </r>
  <r>
    <x v="0"/>
    <s v="RCS DEVICE"/>
    <s v="Bottom cover"/>
    <s v="130040670019337"/>
    <s v="Dongguan Wellsun Plastic"/>
    <m/>
    <s v="Plastic"/>
    <x v="2"/>
    <x v="11"/>
    <d v="2025-03-06T00:00:00"/>
    <m/>
    <n v="0.81200000000000006"/>
    <n v="0.84610000000000007"/>
    <n v="3.4099999999999998E-2"/>
    <m/>
    <n v="1"/>
    <n v="0.81200000000000006"/>
    <n v="67691"/>
    <n v="5409800"/>
    <n v="885000"/>
    <n v="700525.82000000007"/>
    <s v="LG PC LUPOY  GP1000ML"/>
    <s v="Blue"/>
    <n v="4.5999999999999996"/>
    <m/>
    <s v="Printing"/>
    <n v="0.57120000000000004"/>
    <n v="57273.355100000008"/>
    <n v="38665.099200000004"/>
    <n v="311.37859999999995"/>
    <m/>
  </r>
  <r>
    <x v="0"/>
    <s v="RCS DEVICE"/>
    <s v="Bottom cover"/>
    <s v="130040670019337"/>
    <s v="Dongguan Wellsun Plastic"/>
    <m/>
    <s v="Plastic"/>
    <x v="2"/>
    <x v="11"/>
    <d v="2025-03-06T00:00:00"/>
    <m/>
    <n v="0.81200000000000006"/>
    <n v="0.84610000000000007"/>
    <n v="3.4099999999999998E-2"/>
    <m/>
    <n v="1"/>
    <n v="0.81200000000000006"/>
    <n v="20502"/>
    <m/>
    <m/>
    <m/>
    <s v="LG PC LUPOY  GP1000ML"/>
    <s v="Aqua"/>
    <n v="4.5999999999999996"/>
    <m/>
    <s v="Printing"/>
    <n v="0.57120000000000004"/>
    <n v="17346.742200000001"/>
    <n v="11710.742400000001"/>
    <n v="94.309200000000004"/>
    <m/>
  </r>
  <r>
    <x v="0"/>
    <s v="RCS DEVICE"/>
    <s v="Bottom cover"/>
    <s v="130040670019337"/>
    <s v="Dongguan Wellsun Plastic"/>
    <m/>
    <s v="Plastic"/>
    <x v="2"/>
    <x v="11"/>
    <d v="2025-03-06T00:00:00"/>
    <m/>
    <n v="0.81200000000000006"/>
    <n v="0.84610000000000007"/>
    <n v="3.4099999999999998E-2"/>
    <m/>
    <n v="1"/>
    <n v="0.81200000000000006"/>
    <n v="5500"/>
    <m/>
    <m/>
    <m/>
    <s v="LG PC LUPOY  GP1000ML"/>
    <s v="Yellow"/>
    <n v="4.5999999999999996"/>
    <m/>
    <s v="Printing"/>
    <n v="0.57120000000000004"/>
    <n v="4653.55"/>
    <n v="3141.6000000000004"/>
    <n v="25.299999999999997"/>
    <m/>
  </r>
  <r>
    <x v="0"/>
    <s v="RCS DEVICE"/>
    <s v="Bottom cover"/>
    <s v="130040670019337"/>
    <s v="Dongguan Wellsun Plastic"/>
    <m/>
    <s v="Plastic"/>
    <x v="2"/>
    <x v="11"/>
    <d v="2025-03-06T00:00:00"/>
    <m/>
    <n v="0.81200000000000006"/>
    <n v="0.84610000000000007"/>
    <n v="3.4099999999999998E-2"/>
    <m/>
    <n v="1"/>
    <n v="0.81200000000000006"/>
    <n v="20318"/>
    <m/>
    <m/>
    <m/>
    <s v="LG PC LUPOY  GP1000ML"/>
    <s v="Orange"/>
    <n v="4.5999999999999996"/>
    <m/>
    <s v="Printing"/>
    <n v="0.57120000000000004"/>
    <n v="17191.059800000003"/>
    <n v="11605.641600000001"/>
    <n v="93.462799999999987"/>
    <m/>
  </r>
  <r>
    <x v="0"/>
    <s v="RCS DEVICE"/>
    <s v="Bottom cover"/>
    <s v="130040670019337"/>
    <s v="Dongguan Wellsun Plastic"/>
    <m/>
    <s v="Plastic"/>
    <x v="2"/>
    <x v="11"/>
    <d v="2025-03-06T00:00:00"/>
    <m/>
    <n v="0.81200000000000006"/>
    <n v="0.84610000000000007"/>
    <n v="3.4099999999999998E-2"/>
    <m/>
    <n v="1"/>
    <n v="0.81200000000000006"/>
    <n v="30167"/>
    <m/>
    <m/>
    <m/>
    <s v="LG PC LUPOY  GP1000ML"/>
    <s v="Red"/>
    <n v="4.5999999999999996"/>
    <m/>
    <s v="Printing"/>
    <n v="0.57120000000000004"/>
    <n v="25524.298700000003"/>
    <n v="17231.3904"/>
    <n v="138.76819999999998"/>
    <m/>
  </r>
  <r>
    <x v="0"/>
    <s v="RCS DEVICE"/>
    <s v="Bottom cover"/>
    <s v="130040670019337"/>
    <s v="Dongguan Wellsun Plastic"/>
    <m/>
    <s v="Plastic"/>
    <x v="2"/>
    <x v="11"/>
    <d v="2025-03-06T00:00:00"/>
    <m/>
    <n v="0.81200000000000006"/>
    <n v="0.84610000000000007"/>
    <n v="3.4099999999999998E-2"/>
    <m/>
    <n v="1"/>
    <n v="0.81200000000000006"/>
    <n v="34312"/>
    <m/>
    <m/>
    <m/>
    <s v="LG PC LUPOY  GP1000ML"/>
    <s v="Black"/>
    <n v="4.5999999999999996"/>
    <m/>
    <s v="Printing"/>
    <n v="0.57120000000000004"/>
    <n v="29031.383200000004"/>
    <n v="19599.0144"/>
    <n v="157.83519999999999"/>
    <m/>
  </r>
  <r>
    <x v="0"/>
    <s v="RCS DEVICE"/>
    <s v="Bottom cover"/>
    <s v="130040670019337"/>
    <s v="Dongguan Wellsun Plastic"/>
    <m/>
    <s v="Plastic"/>
    <x v="2"/>
    <x v="7"/>
    <d v="2025-02-17T00:00:00"/>
    <m/>
    <n v="0.89900000000000002"/>
    <n v="0.93310000000000004"/>
    <n v="3.4099999999999998E-2"/>
    <m/>
    <n v="1"/>
    <n v="0.89900000000000002"/>
    <n v="30441"/>
    <n v="5231310"/>
    <n v="885000"/>
    <n v="706612.32900000003"/>
    <s v="LG PC LUPOY  GP1000ML"/>
    <s v="Aqua"/>
    <n v="4.5999999999999996"/>
    <m/>
    <s v="Printing"/>
    <n v="0.57120000000000004"/>
    <n v="28404.497100000001"/>
    <n v="17387.8992"/>
    <n v="140.02859999999998"/>
    <m/>
  </r>
  <r>
    <x v="0"/>
    <s v="RCS DEVICE"/>
    <s v="Bottom cover"/>
    <s v="130040670019337"/>
    <s v="Dongguan Wellsun Plastic"/>
    <m/>
    <s v="Plastic"/>
    <x v="2"/>
    <x v="7"/>
    <d v="2025-02-17T00:00:00"/>
    <m/>
    <n v="0.89900000000000002"/>
    <n v="0.93310000000000004"/>
    <n v="3.4099999999999998E-2"/>
    <m/>
    <n v="1"/>
    <n v="0.89900000000000002"/>
    <n v="58009"/>
    <m/>
    <m/>
    <m/>
    <s v="LG PC LUPOY  GP1000ML"/>
    <s v="Black"/>
    <n v="4.5999999999999996"/>
    <m/>
    <s v="Printing"/>
    <n v="0.57120000000000004"/>
    <n v="54128.197899999999"/>
    <n v="33134.7408"/>
    <n v="266.84139999999996"/>
    <m/>
  </r>
  <r>
    <x v="0"/>
    <s v="RCS DEVICE"/>
    <s v="Bottom cover"/>
    <s v="130040670019337"/>
    <s v="Dongguan Wellsun Plastic"/>
    <m/>
    <s v="Plastic"/>
    <x v="2"/>
    <x v="7"/>
    <d v="2025-02-17T00:00:00"/>
    <m/>
    <n v="0.89900000000000002"/>
    <n v="0.93310000000000004"/>
    <n v="3.4099999999999998E-2"/>
    <m/>
    <n v="1"/>
    <n v="0.89900000000000002"/>
    <n v="36050"/>
    <m/>
    <m/>
    <m/>
    <s v="LG PC LUPOY  GP1000ML"/>
    <s v="Blue"/>
    <n v="4.5999999999999996"/>
    <m/>
    <s v="Printing"/>
    <n v="0.57120000000000004"/>
    <n v="33638.255000000005"/>
    <n v="20591.760000000002"/>
    <n v="165.83"/>
    <m/>
  </r>
  <r>
    <x v="0"/>
    <s v="RCS DEVICE"/>
    <s v="Bottom cover"/>
    <s v="130040670019337"/>
    <s v="Dongguan Wellsun Plastic"/>
    <m/>
    <s v="Plastic"/>
    <x v="2"/>
    <x v="7"/>
    <d v="2025-02-17T00:00:00"/>
    <m/>
    <n v="0.89900000000000002"/>
    <n v="0.93310000000000004"/>
    <n v="3.4099999999999998E-2"/>
    <m/>
    <n v="1"/>
    <n v="0.89900000000000002"/>
    <n v="30426"/>
    <m/>
    <m/>
    <m/>
    <s v="LG PC LUPOY  GP1000ML"/>
    <s v="Orange"/>
    <n v="4.5999999999999996"/>
    <m/>
    <s v="Printing"/>
    <n v="0.57120000000000004"/>
    <n v="28390.500600000003"/>
    <n v="17379.331200000001"/>
    <n v="139.95959999999997"/>
    <m/>
  </r>
  <r>
    <x v="0"/>
    <s v="RCS DEVICE"/>
    <s v="Bottom cover"/>
    <s v="130040670019337"/>
    <s v="Dongguan Wellsun Plastic"/>
    <m/>
    <s v="Plastic"/>
    <x v="2"/>
    <x v="7"/>
    <d v="2025-02-17T00:00:00"/>
    <m/>
    <n v="0.89900000000000002"/>
    <n v="0.93310000000000004"/>
    <n v="3.4099999999999998E-2"/>
    <m/>
    <n v="1"/>
    <n v="0.89900000000000002"/>
    <n v="36784"/>
    <m/>
    <m/>
    <m/>
    <s v="LG PC LUPOY  GP1000ML"/>
    <s v="Red"/>
    <n v="4.5999999999999996"/>
    <m/>
    <s v="Printing"/>
    <n v="0.57120000000000004"/>
    <n v="34323.150399999999"/>
    <n v="21011.020800000002"/>
    <n v="169.2064"/>
    <m/>
  </r>
  <r>
    <x v="0"/>
    <s v="RCS DEVICE"/>
    <s v="Bottom cover"/>
    <s v="130040670019337"/>
    <s v="Dongguan Wellsun Plastic"/>
    <m/>
    <s v="Plastic"/>
    <x v="2"/>
    <x v="7"/>
    <d v="2025-02-17T00:00:00"/>
    <m/>
    <n v="0.89900000000000002"/>
    <n v="0.93310000000000004"/>
    <n v="3.4099999999999998E-2"/>
    <m/>
    <n v="1"/>
    <n v="0.89900000000000002"/>
    <n v="29644"/>
    <m/>
    <m/>
    <m/>
    <s v="LG PC LUPOY  GP1000ML"/>
    <s v="Yellow"/>
    <n v="4.5999999999999996"/>
    <m/>
    <s v="Printing"/>
    <n v="0.57120000000000004"/>
    <n v="27660.8164"/>
    <n v="16932.6528"/>
    <n v="136.36240000000001"/>
    <m/>
  </r>
  <r>
    <x v="0"/>
    <s v="RCS DEVICE"/>
    <s v="Bottom cover"/>
    <s v="130040670019337"/>
    <s v="Dongguan Wellsun Plastic"/>
    <m/>
    <s v="Plastic"/>
    <x v="0"/>
    <x v="8"/>
    <d v="2025-01-08T00:00:00"/>
    <m/>
    <n v="0.89900000000000002"/>
    <n v="0.93310000000000004"/>
    <n v="3.4099999999999998E-2"/>
    <m/>
    <n v="1"/>
    <n v="0.89900000000000002"/>
    <n v="424386"/>
    <n v="5009956"/>
    <n v="885000"/>
    <n v="714160.50040000002"/>
    <s v="LG PC LUPOY  GP1000ML"/>
    <s v="Yellow,Aqua,Orange,Black,Red,Blue"/>
    <n v="4.5999999999999996"/>
    <m/>
    <s v="Printing"/>
    <n v="0.57120000000000004"/>
    <n v="395994.57660000003"/>
    <n v="242409.28320000001"/>
    <n v="1952.1755999999998"/>
    <m/>
  </r>
  <r>
    <x v="0"/>
    <s v="RCS DEVICE"/>
    <s v="Bottom cover"/>
    <s v="130040670019337"/>
    <s v="Dongguan Wellsun Plastic"/>
    <m/>
    <s v="Plastic"/>
    <x v="0"/>
    <x v="9"/>
    <d v="2024-12-03T00:00:00"/>
    <m/>
    <n v="0.89900000000000002"/>
    <n v="0.93310000000000004"/>
    <n v="3.4099999999999998E-2"/>
    <m/>
    <n v="1"/>
    <n v="0.89900000000000002"/>
    <n v="192997"/>
    <n v="4585570"/>
    <n v="885000"/>
    <n v="728632.06299999997"/>
    <s v="LG PC LUPOY  GP1000ML"/>
    <s v="Yellow,Aqua,Orange,Black,Red,Blue"/>
    <n v="4.5999999999999996"/>
    <m/>
    <s v="Printing"/>
    <n v="0.57120000000000004"/>
    <n v="180085.5007"/>
    <n v="110239.8864"/>
    <n v="887.78620000000001"/>
    <m/>
  </r>
  <r>
    <x v="0"/>
    <s v="RCS DEVICE"/>
    <s v="Bottom cover"/>
    <s v="130040670019337"/>
    <s v="Dongguan Wellsun Plastic"/>
    <m/>
    <s v="Plastic"/>
    <x v="0"/>
    <x v="10"/>
    <d v="2024-11-22T00:00:00"/>
    <m/>
    <n v="0.89900000000000002"/>
    <n v="0.93310000000000004"/>
    <n v="3.4099999999999998E-2"/>
    <m/>
    <n v="1"/>
    <n v="0.89900000000000002"/>
    <n v="93054"/>
    <n v="4392573"/>
    <n v="885000"/>
    <n v="735213.26069999998"/>
    <s v="LG PC LUPOY  GP1000ML"/>
    <s v="Yellow,Aqua,Orange,Black,Red,Blue"/>
    <n v="4.5999999999999996"/>
    <m/>
    <s v="Printing"/>
    <n v="0.57120000000000004"/>
    <n v="86828.68740000001"/>
    <n v="53152.444800000005"/>
    <n v="428.04839999999996"/>
    <s v="分摊单价差额导致67,200 RMB需支付"/>
  </r>
  <r>
    <x v="0"/>
    <s v="RCS DEVICE"/>
    <s v="Bottom cover"/>
    <s v="130040670019337"/>
    <s v="Dongguan Wellsun Plastic"/>
    <m/>
    <s v="Plastic"/>
    <x v="0"/>
    <x v="0"/>
    <d v="2024-11-22T00:00:00"/>
    <m/>
    <n v="0.89900000000000002"/>
    <n v="0.93310000000000004"/>
    <n v="3.4099999999999998E-2"/>
    <n v="0"/>
    <n v="1"/>
    <n v="0.89900000000000002"/>
    <n v="821542"/>
    <n v="4299519"/>
    <n v="885000"/>
    <n v="738386.40210000006"/>
    <s v="LG PC LUPOY  GP1000ML"/>
    <s v="Yellow,Aqua,Orange,Black,Red,Blue"/>
    <n v="4.5999999999999996"/>
    <m/>
    <s v="Printing"/>
    <n v="0.57120000000000004"/>
    <n v="766580.84019999998"/>
    <n v="469264.79040000006"/>
    <n v="3779.0931999999998"/>
    <s v="分摊单价差额导致67,200 RMB需支付"/>
  </r>
  <r>
    <x v="0"/>
    <s v="RCS DEVICE"/>
    <s v="Bottom cover"/>
    <s v="130040670019337"/>
    <s v="Dongguan Wellsun Plastic"/>
    <m/>
    <s v="Plastic"/>
    <x v="0"/>
    <x v="1"/>
    <d v="2024-11-22T00:00:00"/>
    <m/>
    <n v="0.89900000000000002"/>
    <n v="0.93310000000000004"/>
    <n v="3.4099999999999998E-2"/>
    <n v="0"/>
    <n v="1"/>
    <n v="0.89900000000000002"/>
    <n v="598220"/>
    <n v="3477977"/>
    <n v="885000"/>
    <n v="766400.98430000001"/>
    <s v="LG PC LUPOY  GP1000ML"/>
    <s v="Yellow,Aqua,Orange,Black,Red,Blue"/>
    <n v="4.5999999999999996"/>
    <m/>
    <s v="Printing"/>
    <n v="0.57120000000000004"/>
    <n v="558199.08200000005"/>
    <n v="341703.26400000002"/>
    <n v="2751.8119999999999"/>
    <m/>
  </r>
  <r>
    <x v="0"/>
    <s v="RCS DEVICE"/>
    <s v="Bottom cover"/>
    <s v="130040670019337"/>
    <s v="Dongguan Wellsun Plastic"/>
    <m/>
    <s v="Plastic"/>
    <x v="0"/>
    <x v="2"/>
    <d v="2024-11-22T00:00:00"/>
    <m/>
    <n v="0.89900000000000002"/>
    <n v="0.93310000000000004"/>
    <n v="3.4099999999999998E-2"/>
    <n v="0"/>
    <n v="1"/>
    <n v="0.89900000000000002"/>
    <n v="309444"/>
    <n v="2879757"/>
    <n v="885000"/>
    <n v="786800.28630000004"/>
    <s v="LG PC LUPOY  GP1000ML"/>
    <s v="Yellow,Aqua,Orange,Black,Red,Blue"/>
    <n v="4.5999999999999996"/>
    <m/>
    <s v="Printing"/>
    <n v="0.57120000000000004"/>
    <n v="288742.19640000002"/>
    <n v="176754.41280000002"/>
    <n v="1423.4423999999999"/>
    <m/>
  </r>
  <r>
    <x v="0"/>
    <s v="RCS DEVICE"/>
    <s v="Bottom cover"/>
    <s v="130040670019337"/>
    <s v="Dongguan Wellsun Plastic"/>
    <m/>
    <s v="Plastic"/>
    <x v="0"/>
    <x v="3"/>
    <d v="2024-11-22T00:00:00"/>
    <m/>
    <n v="0.89900000000000002"/>
    <n v="0.93310000000000004"/>
    <n v="3.4099999999999998E-2"/>
    <n v="0"/>
    <n v="1"/>
    <n v="0.89900000000000002"/>
    <n v="822424"/>
    <n v="2570313"/>
    <n v="885000"/>
    <n v="797352.32669999998"/>
    <s v="LG PC LUPOY  GP1000ML"/>
    <s v="Yellow,Aqua,Orange,Black,Red,Blue"/>
    <n v="4.5999999999999996"/>
    <m/>
    <s v="Printing"/>
    <n v="0.57120000000000004"/>
    <n v="767403.83440000005"/>
    <n v="469768.58880000003"/>
    <n v="3783.1504"/>
    <m/>
  </r>
  <r>
    <x v="0"/>
    <s v="RCS DEVICE"/>
    <s v="Bottom cover"/>
    <s v="130040670019337"/>
    <s v="Dongguan Wellsun Plastic"/>
    <m/>
    <s v="Plastic"/>
    <x v="0"/>
    <x v="4"/>
    <d v="2024-11-22T00:00:00"/>
    <m/>
    <n v="0.89900000000000002"/>
    <n v="0.93310000000000004"/>
    <n v="3.4099999999999998E-2"/>
    <n v="0"/>
    <n v="1"/>
    <n v="0.89900000000000002"/>
    <n v="979428"/>
    <n v="1747889"/>
    <n v="885000"/>
    <n v="825396.98510000005"/>
    <s v="LG PC LUPOY  GP1000ML"/>
    <s v="Yellow,Aqua,Orange,Black,Red,Blue"/>
    <n v="4.5999999999999996"/>
    <m/>
    <s v="Printing"/>
    <n v="0.57120000000000004"/>
    <n v="913904.26679999998"/>
    <n v="559449.27360000007"/>
    <n v="4505.3688000000002"/>
    <m/>
  </r>
  <r>
    <x v="0"/>
    <s v="RCS DEVICE"/>
    <s v="Bottom cover"/>
    <s v="130040670019337"/>
    <s v="Dongguan Wellsun Plastic"/>
    <m/>
    <s v="Plastic"/>
    <x v="0"/>
    <x v="5"/>
    <d v="2024-11-22T00:00:00"/>
    <m/>
    <n v="0.89900000000000002"/>
    <n v="0.93310000000000004"/>
    <n v="3.4099999999999998E-2"/>
    <n v="0"/>
    <n v="1"/>
    <n v="0.89900000000000002"/>
    <n v="742060"/>
    <n v="768461"/>
    <n v="885000"/>
    <n v="858795.47990000003"/>
    <s v="LG PC LUPOY  GP1000ML"/>
    <s v="Yellow,Aqua,Orange,Black,Red,Blue"/>
    <n v="4.5999999999999996"/>
    <m/>
    <s v="Printing"/>
    <n v="0.57120000000000004"/>
    <n v="692416.18599999999"/>
    <n v="423864.67200000002"/>
    <n v="3413.4759999999997"/>
    <m/>
  </r>
  <r>
    <x v="0"/>
    <s v="RCS DEVICE"/>
    <s v="Bottom cover"/>
    <s v="130040670019337"/>
    <s v="Dongguan Wellsun Plastic"/>
    <m/>
    <s v="Plastic"/>
    <x v="0"/>
    <x v="6"/>
    <d v="2024-11-22T00:00:00"/>
    <m/>
    <n v="0.89900000000000002"/>
    <n v="0.93310000000000004"/>
    <n v="3.4099999999999998E-2"/>
    <n v="0"/>
    <n v="1"/>
    <n v="0.89900000000000002"/>
    <n v="7800"/>
    <n v="26401"/>
    <n v="885000"/>
    <n v="884099.72589999996"/>
    <s v="LG PC LUPOY  GP1000ML"/>
    <s v="Yellow,Aqua,Orange,Black,Red,Blue"/>
    <n v="4.5999999999999996"/>
    <m/>
    <s v="Printing"/>
    <n v="0.57120000000000004"/>
    <n v="7278.18"/>
    <n v="4455.3600000000006"/>
    <n v="35.880000000000003"/>
    <m/>
  </r>
  <r>
    <x v="0"/>
    <s v="RCS DEVICE"/>
    <s v="Bottom cover"/>
    <s v="130040670019337"/>
    <s v="Dongguan Wellsun Plastic"/>
    <m/>
    <s v="Plastic"/>
    <x v="0"/>
    <x v="7"/>
    <d v="2024-11-22T00:00:00"/>
    <m/>
    <n v="0.89900000000000002"/>
    <n v="0.93310000000000004"/>
    <n v="3.4099999999999998E-2"/>
    <n v="0"/>
    <n v="1"/>
    <n v="0.89900000000000002"/>
    <n v="1300"/>
    <n v="18601"/>
    <n v="885000"/>
    <n v="884365.70589999994"/>
    <s v="LG PC LUPOY  GP1000ML"/>
    <s v="Yellow,Aqua,Orange,Black,Red,Blue"/>
    <n v="4.5999999999999996"/>
    <m/>
    <s v="Printing"/>
    <n v="0.57120000000000004"/>
    <n v="1213.03"/>
    <n v="742.56000000000006"/>
    <n v="5.9799999999999986"/>
    <m/>
  </r>
  <r>
    <x v="0"/>
    <s v="RCS DEVICE"/>
    <s v="Bottom cover"/>
    <s v="130040670019337"/>
    <s v="Dongguan Wellsun Plastic"/>
    <m/>
    <s v="Plastic"/>
    <x v="1"/>
    <x v="8"/>
    <d v="2024-11-22T00:00:00"/>
    <m/>
    <n v="0.89900000000000002"/>
    <n v="0.93310000000000004"/>
    <n v="3.4099999999999998E-2"/>
    <n v="0"/>
    <n v="1"/>
    <n v="0.89900000000000002"/>
    <n v="13612"/>
    <n v="17301"/>
    <n v="885000"/>
    <n v="884410.03590000002"/>
    <s v="LG PC LUPOY  GP1000ML"/>
    <s v="Yellow,Aqua,Orange,Black,Red,Blue"/>
    <n v="4.5999999999999996"/>
    <m/>
    <s v="Printing"/>
    <n v="0.57120000000000004"/>
    <n v="12701.3572"/>
    <n v="7775.1744000000008"/>
    <n v="62.615199999999994"/>
    <m/>
  </r>
  <r>
    <x v="0"/>
    <s v="RCS DEVICE"/>
    <s v="Bottom cover"/>
    <s v="130040670019337"/>
    <s v="Dongguan Wellsun Plastic"/>
    <m/>
    <s v="Plastic"/>
    <x v="1"/>
    <x v="9"/>
    <d v="2024-11-22T00:00:00"/>
    <m/>
    <n v="0.89900000000000002"/>
    <n v="0.93310000000000004"/>
    <n v="3.4099999999999998E-2"/>
    <n v="0"/>
    <n v="1"/>
    <n v="0.89900000000000002"/>
    <n v="3689"/>
    <n v="3689"/>
    <n v="885000"/>
    <n v="884874.20510000002"/>
    <s v="LG PC LUPOY  GP1000ML"/>
    <s v="Yellow,Aqua,Orange,Black,Red,Blue"/>
    <n v="4.5999999999999996"/>
    <m/>
    <s v="Printing"/>
    <n v="0.57120000000000004"/>
    <n v="3442.2058999999999"/>
    <n v="2107.1568000000002"/>
    <n v="16.969399999999997"/>
    <m/>
  </r>
  <r>
    <x v="0"/>
    <s v="RCS DEVICE"/>
    <s v="Button"/>
    <s v="130040670019383"/>
    <s v="Dongguan Wellsun Plastic"/>
    <m/>
    <s v="Plastic"/>
    <x v="2"/>
    <x v="11"/>
    <d v="2025-03-06T00:00:00"/>
    <m/>
    <n v="0.12690000000000001"/>
    <n v="0.14252500000000001"/>
    <n v="1.5625E-2"/>
    <m/>
    <n v="1"/>
    <n v="0.12690000000000001"/>
    <n v="56956"/>
    <n v="5397455"/>
    <n v="250000"/>
    <n v="165664.765625"/>
    <s v="LG PC LUPOY  GP1000ML"/>
    <s v="Blue"/>
    <n v="0.55000000000000004"/>
    <m/>
    <m/>
    <m/>
    <n v="8117.6539000000012"/>
    <m/>
    <n v="31.325800000000005"/>
    <m/>
  </r>
  <r>
    <x v="0"/>
    <s v="RCS DEVICE"/>
    <s v="Button"/>
    <s v="130040670019383"/>
    <s v="Dongguan Wellsun Plastic"/>
    <m/>
    <s v="Plastic"/>
    <x v="2"/>
    <x v="11"/>
    <d v="2025-03-06T00:00:00"/>
    <m/>
    <n v="0.12690000000000001"/>
    <n v="0.14252500000000001"/>
    <n v="1.5625E-2"/>
    <m/>
    <n v="1"/>
    <n v="0.12690000000000001"/>
    <n v="14982"/>
    <m/>
    <m/>
    <m/>
    <s v="LG PC LUPOY  GP1000ML"/>
    <s v="Aqua"/>
    <n v="0.55000000000000004"/>
    <m/>
    <m/>
    <m/>
    <n v="2135.3095500000004"/>
    <m/>
    <n v="8.2401"/>
    <m/>
  </r>
  <r>
    <x v="0"/>
    <s v="RCS DEVICE"/>
    <s v="Button"/>
    <s v="130040670019383"/>
    <s v="Dongguan Wellsun Plastic"/>
    <m/>
    <s v="Plastic"/>
    <x v="2"/>
    <x v="11"/>
    <d v="2025-03-06T00:00:00"/>
    <m/>
    <n v="0.12690000000000001"/>
    <n v="0.14252500000000001"/>
    <n v="1.5625E-2"/>
    <m/>
    <n v="1"/>
    <n v="0.12690000000000001"/>
    <n v="19961"/>
    <m/>
    <m/>
    <m/>
    <s v="LG PC LUPOY  GP1000ML"/>
    <s v="Orange"/>
    <n v="0.55000000000000004"/>
    <m/>
    <m/>
    <m/>
    <n v="2844.9415250000002"/>
    <m/>
    <n v="10.97855"/>
    <m/>
  </r>
  <r>
    <x v="0"/>
    <s v="RCS DEVICE"/>
    <s v="Button"/>
    <s v="130040670019383"/>
    <s v="Dongguan Wellsun Plastic"/>
    <m/>
    <s v="Plastic"/>
    <x v="2"/>
    <x v="11"/>
    <d v="2025-03-06T00:00:00"/>
    <m/>
    <n v="0.12690000000000001"/>
    <n v="0.14252500000000001"/>
    <n v="1.5625E-2"/>
    <m/>
    <n v="1"/>
    <n v="0.12690000000000001"/>
    <n v="35416"/>
    <m/>
    <m/>
    <m/>
    <s v="LG PC LUPOY  GP1000ML"/>
    <s v="Red"/>
    <n v="0.55000000000000004"/>
    <m/>
    <m/>
    <m/>
    <n v="5047.6654000000008"/>
    <m/>
    <n v="19.478800000000003"/>
    <m/>
  </r>
  <r>
    <x v="0"/>
    <s v="RCS DEVICE"/>
    <s v="Button"/>
    <s v="130040670019383"/>
    <s v="Dongguan Wellsun Plastic"/>
    <m/>
    <s v="Plastic"/>
    <x v="2"/>
    <x v="11"/>
    <d v="2025-03-06T00:00:00"/>
    <m/>
    <n v="0.12690000000000001"/>
    <n v="0.14252500000000001"/>
    <n v="1.5625E-2"/>
    <m/>
    <n v="1"/>
    <n v="0.12690000000000001"/>
    <n v="15000"/>
    <m/>
    <m/>
    <m/>
    <s v="LG PC LUPOY  GP1000ML"/>
    <s v="Black"/>
    <n v="0.55000000000000004"/>
    <m/>
    <m/>
    <m/>
    <n v="2137.875"/>
    <m/>
    <n v="8.25"/>
    <m/>
  </r>
  <r>
    <x v="0"/>
    <s v="RCS DEVICE"/>
    <s v="Button"/>
    <s v="130040670019383"/>
    <s v="Dongguan Wellsun Plastic"/>
    <m/>
    <s v="Plastic"/>
    <x v="2"/>
    <x v="7"/>
    <d v="2025-02-17T00:00:00"/>
    <m/>
    <n v="0.14000000000000001"/>
    <n v="0.15562500000000001"/>
    <n v="1.5625E-2"/>
    <m/>
    <n v="1"/>
    <n v="0.14000000000000001"/>
    <n v="41487"/>
    <n v="5255140"/>
    <n v="250000"/>
    <n v="167888.4375"/>
    <s v="LG PC LUPOY  GP1000ML"/>
    <s v="Blue"/>
    <n v="0.55000000000000004"/>
    <m/>
    <m/>
    <m/>
    <n v="6456.4143750000003"/>
    <m/>
    <n v="22.817850000000004"/>
    <m/>
  </r>
  <r>
    <x v="0"/>
    <s v="RCS DEVICE"/>
    <s v="Button"/>
    <s v="130040670019383"/>
    <s v="Dongguan Wellsun Plastic"/>
    <m/>
    <s v="Plastic"/>
    <x v="2"/>
    <x v="7"/>
    <d v="2025-02-17T00:00:00"/>
    <m/>
    <n v="0.14000000000000001"/>
    <n v="0.15562500000000001"/>
    <n v="1.5625E-2"/>
    <m/>
    <n v="1"/>
    <n v="0.14000000000000001"/>
    <n v="21076"/>
    <m/>
    <m/>
    <m/>
    <s v="LG PC LUPOY  GP1000ML"/>
    <s v="Aqua"/>
    <n v="0.55000000000000004"/>
    <m/>
    <m/>
    <m/>
    <n v="3279.9525000000003"/>
    <m/>
    <n v="11.591800000000001"/>
    <m/>
  </r>
  <r>
    <x v="0"/>
    <s v="RCS DEVICE"/>
    <s v="Button"/>
    <s v="130040670019383"/>
    <s v="Dongguan Wellsun Plastic"/>
    <m/>
    <s v="Plastic"/>
    <x v="2"/>
    <x v="7"/>
    <d v="2025-02-17T00:00:00"/>
    <m/>
    <n v="0.14000000000000001"/>
    <n v="0.15562500000000001"/>
    <n v="1.5625E-2"/>
    <m/>
    <n v="1"/>
    <n v="0.14000000000000001"/>
    <n v="34998"/>
    <m/>
    <m/>
    <m/>
    <s v="LG PC LUPOY  GP1000ML"/>
    <s v="Yellow"/>
    <n v="0.55000000000000004"/>
    <m/>
    <m/>
    <m/>
    <n v="5446.5637500000003"/>
    <m/>
    <n v="19.248900000000003"/>
    <m/>
  </r>
  <r>
    <x v="0"/>
    <s v="RCS DEVICE"/>
    <s v="Button"/>
    <s v="130040670019383"/>
    <s v="Dongguan Wellsun Plastic"/>
    <m/>
    <s v="Plastic"/>
    <x v="2"/>
    <x v="7"/>
    <d v="2025-02-17T00:00:00"/>
    <m/>
    <n v="0.14000000000000001"/>
    <n v="0.15562500000000001"/>
    <n v="1.5625E-2"/>
    <m/>
    <n v="1"/>
    <n v="0.14000000000000001"/>
    <n v="36003"/>
    <m/>
    <m/>
    <m/>
    <s v="LG PC LUPOY  GP1000ML"/>
    <s v="Orange"/>
    <n v="0.55000000000000004"/>
    <m/>
    <m/>
    <m/>
    <n v="5602.9668750000001"/>
    <m/>
    <n v="19.801650000000002"/>
    <m/>
  </r>
  <r>
    <x v="0"/>
    <s v="RCS DEVICE"/>
    <s v="Button"/>
    <s v="130040670019383"/>
    <s v="Dongguan Wellsun Plastic"/>
    <m/>
    <s v="Plastic"/>
    <x v="2"/>
    <x v="7"/>
    <d v="2025-02-17T00:00:00"/>
    <m/>
    <n v="0.14000000000000001"/>
    <n v="0.15562500000000001"/>
    <n v="1.5625E-2"/>
    <m/>
    <n v="1"/>
    <n v="0.14000000000000001"/>
    <n v="44637"/>
    <m/>
    <m/>
    <m/>
    <s v="LG PC LUPOY  GP1000ML"/>
    <s v="Red"/>
    <n v="0.55000000000000004"/>
    <m/>
    <m/>
    <m/>
    <n v="6946.6331250000003"/>
    <m/>
    <n v="24.550350000000002"/>
    <m/>
  </r>
  <r>
    <x v="0"/>
    <s v="RCS DEVICE"/>
    <s v="Button"/>
    <s v="130040670019383"/>
    <s v="Dongguan Wellsun Plastic"/>
    <m/>
    <s v="Plastic"/>
    <x v="2"/>
    <x v="7"/>
    <d v="2025-02-17T00:00:00"/>
    <m/>
    <n v="0.14000000000000001"/>
    <n v="0.15562500000000001"/>
    <n v="1.5625E-2"/>
    <m/>
    <n v="1"/>
    <n v="0.14000000000000001"/>
    <n v="70766"/>
    <m/>
    <m/>
    <m/>
    <s v="LG PC LUPOY  GP1000ML"/>
    <s v="Black"/>
    <n v="0.55000000000000004"/>
    <m/>
    <m/>
    <m/>
    <n v="11012.958750000002"/>
    <m/>
    <n v="38.921300000000002"/>
    <m/>
  </r>
  <r>
    <x v="0"/>
    <s v="RCS DEVICE"/>
    <s v="Button"/>
    <s v="130040670019383"/>
    <s v="Dongguan Wellsun Plastic"/>
    <m/>
    <s v="Plastic"/>
    <x v="0"/>
    <x v="8"/>
    <d v="2025-01-08T00:00:00"/>
    <m/>
    <n v="0.14000000000000001"/>
    <n v="0.15562500000000001"/>
    <n v="1.5625E-2"/>
    <m/>
    <n v="1"/>
    <n v="0.14000000000000001"/>
    <n v="331615"/>
    <n v="5006173"/>
    <n v="250000"/>
    <n v="171778.546875"/>
    <s v="LG PC LUPOY  GP1000ML"/>
    <s v="Yellow,Aqua,Orange,Black,Red,Blue"/>
    <n v="0.55000000000000004"/>
    <m/>
    <m/>
    <m/>
    <n v="51607.584375000006"/>
    <m/>
    <n v="182.38825000000003"/>
    <m/>
  </r>
  <r>
    <x v="0"/>
    <s v="RCS DEVICE"/>
    <s v="Button"/>
    <s v="130040670019383"/>
    <s v="Dongguan Wellsun Plastic"/>
    <m/>
    <s v="Plastic"/>
    <x v="0"/>
    <x v="9"/>
    <d v="2024-12-03T00:00:00"/>
    <m/>
    <n v="0.14000000000000001"/>
    <n v="0.15562500000000001"/>
    <n v="1.5625E-2"/>
    <m/>
    <n v="1"/>
    <n v="0.14000000000000001"/>
    <n v="291556"/>
    <n v="4674558"/>
    <n v="250000"/>
    <n v="176960.03125"/>
    <s v="LG PC LUPOY  GP1000ML"/>
    <s v="Yellow,Aqua,Orange,Black,Red,Blue"/>
    <n v="0.55000000000000004"/>
    <m/>
    <m/>
    <m/>
    <n v="45373.402500000004"/>
    <m/>
    <n v="160.35580000000002"/>
    <m/>
  </r>
  <r>
    <x v="0"/>
    <s v="RCS DEVICE"/>
    <s v="Button"/>
    <s v="130040670019383"/>
    <s v="Dongguan Wellsun Plastic"/>
    <m/>
    <s v="Plastic"/>
    <x v="0"/>
    <x v="10"/>
    <d v="2024-11-01T00:00:00"/>
    <m/>
    <n v="0.14000000000000001"/>
    <n v="0.15562500000000001"/>
    <n v="1.5625E-2"/>
    <m/>
    <n v="1"/>
    <n v="0.14000000000000001"/>
    <n v="89000"/>
    <n v="4383002"/>
    <n v="250000"/>
    <n v="181515.59375"/>
    <s v="LG PC LUPOY  GP1000ML"/>
    <s v="Yellow,Aqua,Orange,Black,Red,Blue"/>
    <n v="0.55000000000000004"/>
    <m/>
    <m/>
    <m/>
    <n v="13850.625000000002"/>
    <m/>
    <n v="48.95000000000001"/>
    <m/>
  </r>
  <r>
    <x v="0"/>
    <s v="RCS DEVICE"/>
    <s v="Button"/>
    <s v="130040670019383"/>
    <s v="Dongguan Wellsun Plastic"/>
    <m/>
    <s v="Plastic"/>
    <x v="0"/>
    <x v="0"/>
    <d v="2024-11-01T00:00:00"/>
    <m/>
    <n v="0.14000000000000001"/>
    <n v="0.15562500000000001"/>
    <n v="1.5625E-2"/>
    <n v="0"/>
    <n v="1"/>
    <n v="0.14000000000000001"/>
    <n v="624300"/>
    <n v="4294002"/>
    <n v="250000"/>
    <n v="182906.21875"/>
    <s v="LG PC LUPOY  GP1000ML"/>
    <s v="Yellow,Aqua,Orange,Black,Red,Blue"/>
    <n v="0.55000000000000004"/>
    <m/>
    <m/>
    <m/>
    <n v="97156.687500000015"/>
    <n v="0"/>
    <n v="343.36500000000001"/>
    <m/>
  </r>
  <r>
    <x v="0"/>
    <s v="RCS DEVICE"/>
    <s v="Button"/>
    <s v="130040670019383"/>
    <s v="Dongguan Wellsun Plastic"/>
    <m/>
    <s v="Plastic"/>
    <x v="0"/>
    <x v="1"/>
    <d v="2024-11-01T00:00:00"/>
    <m/>
    <n v="0.14000000000000001"/>
    <n v="0.15562500000000001"/>
    <n v="1.5625E-2"/>
    <n v="0"/>
    <n v="1"/>
    <n v="0.14000000000000001"/>
    <n v="735900"/>
    <n v="3669702"/>
    <n v="250000"/>
    <n v="192660.90625"/>
    <s v="LG PC LUPOY  GP1000ML"/>
    <s v="Yellow,Aqua,Orange,Black,Red,Blue"/>
    <n v="0.55000000000000004"/>
    <m/>
    <m/>
    <m/>
    <n v="114524.43750000001"/>
    <m/>
    <n v="404.74500000000006"/>
    <m/>
  </r>
  <r>
    <x v="0"/>
    <s v="RCS DEVICE"/>
    <s v="Button"/>
    <s v="130040670019383"/>
    <s v="Dongguan Wellsun Plastic"/>
    <m/>
    <s v="Plastic"/>
    <x v="0"/>
    <x v="2"/>
    <d v="2024-11-01T00:00:00"/>
    <m/>
    <n v="0.14000000000000001"/>
    <n v="0.15562500000000001"/>
    <n v="1.5625E-2"/>
    <n v="0"/>
    <n v="1"/>
    <n v="0.14000000000000001"/>
    <n v="299000"/>
    <n v="2933802"/>
    <n v="250000"/>
    <n v="204159.34375"/>
    <s v="LG PC LUPOY  GP1000ML"/>
    <s v="Yellow,Aqua,Orange,Black,Red,Blue"/>
    <n v="0.55000000000000004"/>
    <m/>
    <m/>
    <m/>
    <n v="46531.875000000007"/>
    <m/>
    <n v="164.45"/>
    <m/>
  </r>
  <r>
    <x v="0"/>
    <s v="RCS DEVICE"/>
    <s v="Button"/>
    <s v="130040670019383"/>
    <s v="Dongguan Wellsun Plastic"/>
    <m/>
    <s v="Plastic"/>
    <x v="0"/>
    <x v="3"/>
    <d v="2024-11-01T00:00:00"/>
    <m/>
    <n v="0.14000000000000001"/>
    <n v="0.15562500000000001"/>
    <n v="1.5625E-2"/>
    <n v="0"/>
    <n v="1"/>
    <n v="0.14000000000000001"/>
    <n v="894500"/>
    <n v="2634802"/>
    <n v="250000"/>
    <n v="208831.21875"/>
    <s v="LG PC LUPOY  GP1000ML"/>
    <s v="Yellow,Aqua,Orange,Black,Red,Blue"/>
    <n v="0.55000000000000004"/>
    <m/>
    <m/>
    <m/>
    <n v="139206.5625"/>
    <m/>
    <n v="491.97500000000008"/>
    <m/>
  </r>
  <r>
    <x v="0"/>
    <s v="RCS DEVICE"/>
    <s v="Button"/>
    <s v="130040670019383"/>
    <s v="Dongguan Wellsun Plastic"/>
    <m/>
    <s v="Plastic"/>
    <x v="0"/>
    <x v="4"/>
    <d v="2024-11-01T00:00:00"/>
    <m/>
    <n v="0.14000000000000001"/>
    <n v="0.15562500000000001"/>
    <n v="1.5625E-2"/>
    <n v="0"/>
    <n v="1"/>
    <n v="0.14000000000000001"/>
    <n v="858638"/>
    <n v="1740302"/>
    <n v="250000"/>
    <n v="222807.78125"/>
    <s v="LG PC LUPOY  GP1000ML"/>
    <s v="Yellow,Aqua,Orange,Black,Red,Blue"/>
    <n v="0.55000000000000004"/>
    <m/>
    <m/>
    <m/>
    <n v="133625.53875000001"/>
    <m/>
    <n v="472.2509"/>
    <m/>
  </r>
  <r>
    <x v="0"/>
    <s v="RCS DEVICE"/>
    <s v="Button"/>
    <s v="130040670019383"/>
    <s v="Dongguan Wellsun Plastic"/>
    <m/>
    <s v="Plastic"/>
    <x v="0"/>
    <x v="5"/>
    <d v="2024-11-01T00:00:00"/>
    <m/>
    <n v="0.14000000000000001"/>
    <n v="0.15562500000000001"/>
    <n v="1.5625E-2"/>
    <n v="0"/>
    <n v="1"/>
    <n v="0.14000000000000001"/>
    <n v="863564"/>
    <n v="881664"/>
    <n v="250000"/>
    <n v="236224"/>
    <s v="LG PC LUPOY  GP1000ML"/>
    <s v="Yellow,Aqua,Orange,Black,Red,Blue"/>
    <n v="0.55000000000000004"/>
    <m/>
    <m/>
    <m/>
    <n v="134392.14750000002"/>
    <m/>
    <n v="474.96019999999999"/>
    <m/>
  </r>
  <r>
    <x v="0"/>
    <s v="RCS DEVICE"/>
    <s v="Button"/>
    <s v="130040670019383"/>
    <s v="Dongguan Wellsun Plastic"/>
    <m/>
    <s v="Plastic"/>
    <x v="0"/>
    <x v="6"/>
    <d v="2024-11-01T00:00:00"/>
    <m/>
    <n v="0.14000000000000001"/>
    <n v="0.15562500000000001"/>
    <n v="1.5625E-2"/>
    <n v="0"/>
    <n v="1"/>
    <n v="0.14000000000000001"/>
    <n v="3600"/>
    <n v="18100"/>
    <n v="250000"/>
    <n v="249717.1875"/>
    <s v="LG PC LUPOY  GP1000ML"/>
    <s v="Yellow,Aqua,Orange,Black,Red,Blue"/>
    <n v="0.55000000000000004"/>
    <m/>
    <m/>
    <m/>
    <n v="560.25"/>
    <m/>
    <n v="1.9800000000000002"/>
    <m/>
  </r>
  <r>
    <x v="0"/>
    <s v="RCS DEVICE"/>
    <s v="Button"/>
    <s v="130040670019383"/>
    <s v="Dongguan Wellsun Plastic"/>
    <m/>
    <s v="Plastic"/>
    <x v="0"/>
    <x v="7"/>
    <d v="2024-11-01T00:00:00"/>
    <m/>
    <n v="0.14000000000000001"/>
    <n v="0.15562500000000001"/>
    <n v="1.5625E-2"/>
    <n v="0"/>
    <n v="1"/>
    <n v="0.14000000000000001"/>
    <n v="400"/>
    <n v="14500"/>
    <n v="250000"/>
    <n v="249773.4375"/>
    <s v="LG PC LUPOY  GP1000ML"/>
    <s v="Yellow,Aqua,Orange,Black,Red,Blue"/>
    <n v="0.55000000000000004"/>
    <m/>
    <m/>
    <m/>
    <n v="62.250000000000007"/>
    <m/>
    <n v="0.22000000000000003"/>
    <m/>
  </r>
  <r>
    <x v="0"/>
    <s v="RCS DEVICE"/>
    <s v="Button"/>
    <s v="130040670019383"/>
    <s v="Dongguan Wellsun Plastic"/>
    <m/>
    <s v="Plastic"/>
    <x v="1"/>
    <x v="8"/>
    <d v="2024-11-01T00:00:00"/>
    <m/>
    <n v="0.14000000000000001"/>
    <n v="0.15562500000000001"/>
    <n v="1.5625E-2"/>
    <n v="0"/>
    <n v="1"/>
    <n v="0.14000000000000001"/>
    <n v="10100"/>
    <n v="14100"/>
    <n v="250000"/>
    <n v="249779.6875"/>
    <s v="LG PC LUPOY  GP1000ML"/>
    <s v="Yellow,Aqua,Orange,Black,Red,Blue"/>
    <n v="0.55000000000000004"/>
    <m/>
    <m/>
    <m/>
    <n v="1571.8125000000002"/>
    <m/>
    <n v="5.5549999999999997"/>
    <m/>
  </r>
  <r>
    <x v="0"/>
    <s v="RCS DEVICE"/>
    <s v="Button"/>
    <s v="130040670019383"/>
    <s v="Dongguan Wellsun Plastic"/>
    <m/>
    <s v="Plastic"/>
    <x v="1"/>
    <x v="9"/>
    <d v="2024-11-01T00:00:00"/>
    <m/>
    <n v="0.14000000000000001"/>
    <n v="0.15562500000000001"/>
    <n v="1.5625E-2"/>
    <n v="0"/>
    <n v="1"/>
    <n v="0.14000000000000001"/>
    <n v="4000"/>
    <n v="4000"/>
    <n v="250000"/>
    <n v="249937.5"/>
    <s v="LG PC LUPOY  GP1000ML"/>
    <s v="Yellow,Aqua,Orange,Black,Red,Blue"/>
    <n v="0.55000000000000004"/>
    <m/>
    <m/>
    <m/>
    <n v="622.5"/>
    <m/>
    <n v="2.2000000000000002"/>
    <m/>
  </r>
  <r>
    <x v="0"/>
    <s v="RCS DEVICE"/>
    <s v="PCBA holder"/>
    <s v="130040670013937"/>
    <s v="Dongguan Wellsun Plastic"/>
    <m/>
    <s v="Plastic"/>
    <x v="2"/>
    <x v="11"/>
    <d v="2025-03-06T00:00:00"/>
    <m/>
    <n v="0.1394"/>
    <n v="0.16639999999999999"/>
    <n v="2.7E-2"/>
    <m/>
    <n v="1"/>
    <n v="0.1394"/>
    <n v="81300"/>
    <n v="5320205"/>
    <n v="432000"/>
    <n v="288354.46499999997"/>
    <s v="PC2456"/>
    <s v="Black"/>
    <n v="1.1000000000000001"/>
    <m/>
    <m/>
    <m/>
    <n v="13528.32"/>
    <m/>
    <n v="89.43"/>
    <m/>
  </r>
  <r>
    <x v="0"/>
    <s v="RCS DEVICE"/>
    <s v="PCBA holder"/>
    <s v="130040670013937"/>
    <s v="Dongguan Wellsun Plastic"/>
    <m/>
    <s v="Plastic"/>
    <x v="2"/>
    <x v="7"/>
    <d v="2025-02-13T00:00:00"/>
    <m/>
    <n v="0.154"/>
    <n v="0.18099999999999999"/>
    <n v="2.7E-2"/>
    <m/>
    <n v="1"/>
    <n v="0.154"/>
    <n v="252431"/>
    <n v="5238905"/>
    <n v="432000"/>
    <n v="290549.565"/>
    <s v="PC2456"/>
    <s v="Black"/>
    <n v="1.1000000000000001"/>
    <m/>
    <m/>
    <m/>
    <n v="45690.010999999999"/>
    <m/>
    <n v="277.67410000000001"/>
    <m/>
  </r>
  <r>
    <x v="0"/>
    <s v="RCS DEVICE"/>
    <s v="PCBA holder"/>
    <s v="130040670013937"/>
    <s v="Dongguan Wellsun Plastic"/>
    <m/>
    <s v="Plastic"/>
    <x v="0"/>
    <x v="8"/>
    <d v="2025-01-08T00:00:00"/>
    <m/>
    <n v="0.154"/>
    <n v="0.18099999999999999"/>
    <n v="2.7E-2"/>
    <m/>
    <n v="1"/>
    <n v="0.154"/>
    <n v="411834"/>
    <n v="4986474"/>
    <n v="432000"/>
    <n v="297365.20199999999"/>
    <s v="PC2456"/>
    <s v="Black"/>
    <n v="1.1000000000000001"/>
    <m/>
    <m/>
    <m/>
    <n v="74541.953999999998"/>
    <m/>
    <n v="453.01740000000001"/>
    <m/>
  </r>
  <r>
    <x v="0"/>
    <s v="RCS DEVICE"/>
    <s v="PCBA holder"/>
    <s v="130040670013937"/>
    <s v="Dongguan Wellsun Plastic"/>
    <m/>
    <s v="Plastic"/>
    <x v="0"/>
    <x v="9"/>
    <d v="2024-12-03T00:00:00"/>
    <m/>
    <n v="0.154"/>
    <n v="0.18099999999999999"/>
    <n v="2.7E-2"/>
    <m/>
    <n v="1"/>
    <n v="0.154"/>
    <n v="222430"/>
    <n v="4574640"/>
    <n v="432000"/>
    <n v="308484.71999999997"/>
    <s v="PC2456"/>
    <s v="Black"/>
    <n v="1.1000000000000001"/>
    <m/>
    <m/>
    <m/>
    <n v="40259.83"/>
    <m/>
    <n v="244.67300000000003"/>
    <m/>
  </r>
  <r>
    <x v="0"/>
    <s v="RCS DEVICE"/>
    <s v="PCBA holder"/>
    <s v="130040670013937"/>
    <s v="Dongguan Wellsun Plastic"/>
    <m/>
    <s v="Plastic"/>
    <x v="0"/>
    <x v="10"/>
    <d v="2024-11-01T00:00:00"/>
    <m/>
    <n v="0.154"/>
    <n v="0.18099999999999999"/>
    <n v="2.7E-2"/>
    <m/>
    <n v="1"/>
    <n v="0.154"/>
    <n v="60000"/>
    <n v="4352210"/>
    <n v="432000"/>
    <n v="314490.33"/>
    <s v="PC2456"/>
    <s v="Black"/>
    <n v="1.1000000000000001"/>
    <m/>
    <m/>
    <m/>
    <n v="10860"/>
    <m/>
    <n v="66"/>
    <m/>
  </r>
  <r>
    <x v="0"/>
    <s v="RCS DEVICE"/>
    <s v="PCBA holder"/>
    <s v="130040670013937"/>
    <s v="Dongguan Wellsun Plastic"/>
    <m/>
    <s v="Plastic"/>
    <x v="0"/>
    <x v="0"/>
    <d v="2024-11-01T00:00:00"/>
    <m/>
    <n v="0.154"/>
    <n v="0.18099999999999999"/>
    <n v="2.7E-2"/>
    <n v="0"/>
    <n v="1"/>
    <n v="0.154"/>
    <n v="833000"/>
    <n v="4292210"/>
    <n v="432000"/>
    <n v="316110.33"/>
    <s v="PC2456"/>
    <s v="Black"/>
    <n v="1.1000000000000001"/>
    <m/>
    <m/>
    <m/>
    <n v="150773"/>
    <n v="0"/>
    <n v="916.30000000000007"/>
    <s v="1次ECN"/>
  </r>
  <r>
    <x v="0"/>
    <s v="RCS DEVICE"/>
    <s v="PCBA holder"/>
    <s v="130040670013937"/>
    <s v="Dongguan Wellsun Plastic"/>
    <m/>
    <s v="Plastic"/>
    <x v="0"/>
    <x v="1"/>
    <d v="2024-11-01T00:00:00"/>
    <m/>
    <n v="0.154"/>
    <n v="0.18099999999999999"/>
    <n v="2.7E-2"/>
    <n v="0"/>
    <n v="1"/>
    <n v="0.154"/>
    <n v="640100"/>
    <n v="3459210"/>
    <n v="432000"/>
    <n v="338601.33"/>
    <s v="PC2456"/>
    <s v="Black"/>
    <n v="1.1000000000000001"/>
    <m/>
    <m/>
    <m/>
    <n v="115858.09999999999"/>
    <m/>
    <n v="704.11"/>
    <m/>
  </r>
  <r>
    <x v="0"/>
    <s v="RCS DEVICE"/>
    <s v="PCBA holder"/>
    <s v="130040670013937"/>
    <s v="Dongguan Wellsun Plastic"/>
    <m/>
    <s v="Plastic"/>
    <x v="0"/>
    <x v="2"/>
    <d v="2024-11-01T00:00:00"/>
    <m/>
    <n v="0.154"/>
    <n v="0.18099999999999999"/>
    <n v="2.7E-2"/>
    <n v="0"/>
    <n v="1"/>
    <n v="0.154"/>
    <n v="199200"/>
    <n v="2819110"/>
    <n v="432000"/>
    <n v="355884.03"/>
    <s v="PC2456"/>
    <s v="Black"/>
    <n v="1.1000000000000001"/>
    <m/>
    <m/>
    <m/>
    <n v="36055.199999999997"/>
    <m/>
    <n v="219.12000000000003"/>
    <m/>
  </r>
  <r>
    <x v="0"/>
    <s v="RCS DEVICE"/>
    <s v="PCBA holder"/>
    <s v="130040670013937"/>
    <s v="Dongguan Wellsun Plastic"/>
    <m/>
    <s v="Plastic"/>
    <x v="0"/>
    <x v="3"/>
    <d v="2024-11-01T00:00:00"/>
    <m/>
    <n v="0.154"/>
    <n v="0.18099999999999999"/>
    <n v="2.7E-2"/>
    <n v="0"/>
    <n v="1"/>
    <n v="0.154"/>
    <n v="1045400"/>
    <n v="2619910"/>
    <n v="432000"/>
    <n v="361262.43"/>
    <s v="PC2456"/>
    <s v="Black"/>
    <n v="1.1000000000000001"/>
    <m/>
    <m/>
    <m/>
    <n v="189217.4"/>
    <m/>
    <n v="1149.94"/>
    <m/>
  </r>
  <r>
    <x v="0"/>
    <s v="RCS DEVICE"/>
    <s v="PCBA holder"/>
    <s v="130040670013937"/>
    <s v="Dongguan Wellsun Plastic"/>
    <m/>
    <s v="Plastic"/>
    <x v="0"/>
    <x v="4"/>
    <d v="2024-11-01T00:00:00"/>
    <m/>
    <n v="0.154"/>
    <n v="0.18099999999999999"/>
    <n v="2.7E-2"/>
    <n v="0"/>
    <n v="1"/>
    <n v="0.154"/>
    <n v="890400"/>
    <n v="1574510"/>
    <n v="432000"/>
    <n v="389488.23"/>
    <s v="PC2456"/>
    <s v="Black"/>
    <n v="1.1000000000000001"/>
    <m/>
    <m/>
    <m/>
    <n v="161162.4"/>
    <m/>
    <n v="979.44000000000017"/>
    <m/>
  </r>
  <r>
    <x v="0"/>
    <s v="RCS DEVICE"/>
    <s v="PCBA holder"/>
    <s v="130040670013937"/>
    <s v="Dongguan Wellsun Plastic"/>
    <m/>
    <s v="Plastic"/>
    <x v="0"/>
    <x v="5"/>
    <d v="2024-11-01T00:00:00"/>
    <m/>
    <n v="0.154"/>
    <n v="0.18099999999999999"/>
    <n v="2.7E-2"/>
    <n v="0"/>
    <n v="1"/>
    <n v="0.154"/>
    <n v="664000"/>
    <n v="684110"/>
    <n v="432000"/>
    <n v="413529.03"/>
    <s v="PC2456"/>
    <s v="Black"/>
    <n v="1.1000000000000001"/>
    <m/>
    <m/>
    <m/>
    <n v="120184"/>
    <m/>
    <n v="730.40000000000009"/>
    <m/>
  </r>
  <r>
    <x v="0"/>
    <s v="RCS DEVICE"/>
    <s v="PCBA holder"/>
    <s v="130040670013937"/>
    <s v="Dongguan Wellsun Plastic"/>
    <m/>
    <s v="Plastic"/>
    <x v="0"/>
    <x v="6"/>
    <d v="2024-11-01T00:00:00"/>
    <m/>
    <n v="0.154"/>
    <n v="0.18099999999999999"/>
    <n v="2.7E-2"/>
    <n v="0"/>
    <n v="1"/>
    <n v="0.154"/>
    <n v="8000"/>
    <n v="20110"/>
    <n v="432000"/>
    <n v="431457.03"/>
    <s v="PC2456"/>
    <s v="Black"/>
    <n v="1.1000000000000001"/>
    <m/>
    <m/>
    <m/>
    <n v="1448"/>
    <m/>
    <n v="8.8000000000000007"/>
    <m/>
  </r>
  <r>
    <x v="0"/>
    <s v="RCS DEVICE"/>
    <s v="PCBA holder"/>
    <s v="130040670013937"/>
    <s v="Dongguan Wellsun Plastic"/>
    <m/>
    <s v="Plastic"/>
    <x v="0"/>
    <x v="7"/>
    <d v="2024-11-01T00:00:00"/>
    <m/>
    <n v="0.154"/>
    <n v="0.18099999999999999"/>
    <n v="2.7E-2"/>
    <n v="0"/>
    <n v="1"/>
    <n v="0.154"/>
    <n v="110"/>
    <n v="12110"/>
    <n v="432000"/>
    <n v="431673.03"/>
    <s v="PC2456"/>
    <s v="Black"/>
    <n v="1.1000000000000001"/>
    <m/>
    <m/>
    <m/>
    <n v="19.91"/>
    <m/>
    <n v="0.12100000000000001"/>
    <m/>
  </r>
  <r>
    <x v="0"/>
    <s v="RCS DEVICE"/>
    <s v="PCBA holder"/>
    <s v="130040670013937"/>
    <s v="Dongguan Wellsun Plastic"/>
    <m/>
    <s v="Plastic"/>
    <x v="1"/>
    <x v="8"/>
    <d v="2024-11-01T00:00:00"/>
    <m/>
    <n v="0.154"/>
    <n v="0.18099999999999999"/>
    <n v="2.7E-2"/>
    <n v="0"/>
    <n v="1"/>
    <n v="0.154"/>
    <n v="8000"/>
    <n v="12000"/>
    <n v="432000"/>
    <n v="431676"/>
    <s v="PC2456"/>
    <s v="Black"/>
    <n v="1.1000000000000001"/>
    <m/>
    <m/>
    <m/>
    <n v="1448"/>
    <m/>
    <n v="8.8000000000000007"/>
    <m/>
  </r>
  <r>
    <x v="0"/>
    <s v="RCS DEVICE"/>
    <s v="PCBA holder"/>
    <s v="130040670013937"/>
    <s v="Dongguan Wellsun Plastic"/>
    <m/>
    <s v="Plastic"/>
    <x v="1"/>
    <x v="9"/>
    <d v="2024-11-01T00:00:00"/>
    <m/>
    <n v="0.154"/>
    <n v="0.18099999999999999"/>
    <n v="2.7E-2"/>
    <n v="0"/>
    <n v="1"/>
    <n v="0.154"/>
    <n v="4000"/>
    <n v="4000"/>
    <n v="432000"/>
    <n v="431892"/>
    <s v="PC2456"/>
    <s v="Black"/>
    <n v="1.1000000000000001"/>
    <m/>
    <m/>
    <m/>
    <n v="724"/>
    <m/>
    <n v="4.4000000000000004"/>
    <m/>
  </r>
  <r>
    <x v="0"/>
    <s v="RCS DEVICE"/>
    <s v="Light guide"/>
    <s v="130040670019391"/>
    <s v="Dongguan Wellsun Plastic"/>
    <m/>
    <s v="Plastic"/>
    <x v="2"/>
    <x v="11"/>
    <d v="2025-03-06T00:00:00"/>
    <m/>
    <n v="0.1235"/>
    <n v="0.1375625"/>
    <n v="1.40625E-2"/>
    <m/>
    <n v="1"/>
    <n v="0.1235"/>
    <n v="78700"/>
    <n v="5307573"/>
    <n v="225000"/>
    <n v="150362.25468750001"/>
    <s v="PC2456"/>
    <s v="Milky translucent"/>
    <n v="0.9"/>
    <m/>
    <m/>
    <m/>
    <n v="10826.168750000001"/>
    <m/>
    <n v="70.83"/>
    <m/>
  </r>
  <r>
    <x v="0"/>
    <s v="RCS DEVICE"/>
    <s v="Light guide"/>
    <s v="130040670019391"/>
    <s v="Dongguan Wellsun Plastic"/>
    <m/>
    <s v="Plastic"/>
    <x v="2"/>
    <x v="7"/>
    <d v="2025-02-13T00:00:00"/>
    <m/>
    <n v="0.13700000000000001"/>
    <n v="0.15106249999999999"/>
    <n v="1.40625E-2"/>
    <m/>
    <n v="1"/>
    <n v="0.13700000000000001"/>
    <n v="264231"/>
    <n v="5228873"/>
    <n v="225000"/>
    <n v="151468.97343750001"/>
    <s v="PC2456"/>
    <s v="Milky translucent"/>
    <n v="0.9"/>
    <m/>
    <m/>
    <m/>
    <n v="39915.395437499996"/>
    <m/>
    <n v="237.80789999999999"/>
    <m/>
  </r>
  <r>
    <x v="0"/>
    <s v="RCS DEVICE"/>
    <s v="Light guide"/>
    <s v="130040670019391"/>
    <s v="Dongguan Wellsun Plastic"/>
    <m/>
    <s v="Plastic"/>
    <x v="0"/>
    <x v="8"/>
    <d v="2025-01-08T00:00:00"/>
    <m/>
    <n v="0.13700000000000001"/>
    <n v="0.15106249999999999"/>
    <n v="1.40625E-2"/>
    <m/>
    <n v="1"/>
    <n v="0.13700000000000001"/>
    <n v="409842"/>
    <n v="4964642"/>
    <n v="225000"/>
    <n v="155184.72187499999"/>
    <s v="PC2456"/>
    <s v="Milky translucent"/>
    <n v="0.9"/>
    <m/>
    <m/>
    <m/>
    <n v="61911.757124999996"/>
    <m/>
    <n v="368.8578"/>
    <m/>
  </r>
  <r>
    <x v="0"/>
    <s v="RCS DEVICE"/>
    <s v="Light guide"/>
    <s v="130040670019391"/>
    <s v="Dongguan Wellsun Plastic"/>
    <m/>
    <s v="Plastic"/>
    <x v="0"/>
    <x v="9"/>
    <d v="2024-12-03T00:00:00"/>
    <m/>
    <n v="0.13700000000000001"/>
    <n v="0.15106249999999999"/>
    <n v="1.40625E-2"/>
    <m/>
    <n v="1"/>
    <n v="0.13700000000000001"/>
    <n v="225000"/>
    <n v="4554800"/>
    <n v="225000"/>
    <n v="160948.125"/>
    <s v="PC2456"/>
    <s v="Milky translucent"/>
    <n v="0.9"/>
    <m/>
    <m/>
    <m/>
    <n v="33989.0625"/>
    <m/>
    <n v="202.5"/>
    <m/>
  </r>
  <r>
    <x v="0"/>
    <s v="RCS DEVICE"/>
    <s v="Light guide"/>
    <s v="130040670019391"/>
    <s v="Dongguan Wellsun Plastic"/>
    <m/>
    <s v="Plastic"/>
    <x v="0"/>
    <x v="10"/>
    <d v="2024-11-01T00:00:00"/>
    <m/>
    <n v="0.13700000000000001"/>
    <n v="0.15106249999999999"/>
    <n v="1.40625E-2"/>
    <m/>
    <n v="1"/>
    <n v="0.13700000000000001"/>
    <n v="60000"/>
    <n v="4329800"/>
    <n v="225000"/>
    <n v="164112.1875"/>
    <s v="PC2456"/>
    <s v="Milky translucent"/>
    <n v="0.9"/>
    <m/>
    <m/>
    <m/>
    <n v="9063.75"/>
    <m/>
    <n v="54"/>
    <m/>
  </r>
  <r>
    <x v="0"/>
    <s v="RCS DEVICE"/>
    <s v="Light guide"/>
    <s v="130040670019391"/>
    <s v="Dongguan Wellsun Plastic"/>
    <m/>
    <s v="Plastic"/>
    <x v="0"/>
    <x v="0"/>
    <d v="2024-11-01T00:00:00"/>
    <m/>
    <n v="0.13700000000000001"/>
    <n v="0.15106249999999999"/>
    <n v="1.40625E-2"/>
    <n v="0"/>
    <n v="1"/>
    <n v="0.13700000000000001"/>
    <n v="831000"/>
    <n v="4269800"/>
    <n v="225000"/>
    <n v="164955.9375"/>
    <s v="PC2456"/>
    <s v="Milky translucent"/>
    <n v="0.9"/>
    <m/>
    <m/>
    <m/>
    <n v="125532.93749999999"/>
    <n v="0"/>
    <n v="747.9"/>
    <m/>
  </r>
  <r>
    <x v="0"/>
    <s v="RCS DEVICE"/>
    <s v="Light guide"/>
    <s v="130040670019391"/>
    <s v="Dongguan Wellsun Plastic"/>
    <m/>
    <s v="Plastic"/>
    <x v="0"/>
    <x v="1"/>
    <d v="2024-11-01T00:00:00"/>
    <m/>
    <n v="0.13700000000000001"/>
    <n v="0.15106249999999999"/>
    <n v="1.40625E-2"/>
    <n v="0"/>
    <n v="1"/>
    <n v="0.13700000000000001"/>
    <n v="625800"/>
    <n v="3438800"/>
    <n v="225000"/>
    <n v="176641.875"/>
    <s v="PC2456"/>
    <s v="Milky translucent"/>
    <n v="0.9"/>
    <m/>
    <m/>
    <m/>
    <n v="94534.912499999991"/>
    <m/>
    <n v="563.22"/>
    <m/>
  </r>
  <r>
    <x v="0"/>
    <s v="RCS DEVICE"/>
    <s v="Light guide"/>
    <s v="130040670019391"/>
    <s v="Dongguan Wellsun Plastic"/>
    <m/>
    <s v="Plastic"/>
    <x v="0"/>
    <x v="2"/>
    <d v="2024-11-01T00:00:00"/>
    <m/>
    <n v="0.13700000000000001"/>
    <n v="0.15106249999999999"/>
    <n v="1.40625E-2"/>
    <n v="0"/>
    <n v="1"/>
    <n v="0.13700000000000001"/>
    <n v="190000"/>
    <n v="2813000"/>
    <n v="225000"/>
    <n v="185442.1875"/>
    <s v="PC2456"/>
    <s v="Milky translucent"/>
    <n v="0.9"/>
    <m/>
    <m/>
    <m/>
    <n v="28701.874999999996"/>
    <m/>
    <n v="171"/>
    <m/>
  </r>
  <r>
    <x v="0"/>
    <s v="RCS DEVICE"/>
    <s v="Light guide"/>
    <s v="130040670019391"/>
    <s v="Dongguan Wellsun Plastic"/>
    <m/>
    <s v="Plastic"/>
    <x v="0"/>
    <x v="3"/>
    <d v="2024-11-01T00:00:00"/>
    <m/>
    <n v="0.13700000000000001"/>
    <n v="0.15106249999999999"/>
    <n v="1.40625E-2"/>
    <n v="0"/>
    <n v="1"/>
    <n v="0.13700000000000001"/>
    <n v="1060000"/>
    <n v="2623000"/>
    <n v="225000"/>
    <n v="188114.0625"/>
    <s v="PC2456"/>
    <s v="Milky translucent"/>
    <n v="0.9"/>
    <m/>
    <m/>
    <m/>
    <n v="160126.25"/>
    <m/>
    <n v="954"/>
    <m/>
  </r>
  <r>
    <x v="0"/>
    <s v="RCS DEVICE"/>
    <s v="Light guide"/>
    <s v="130040670019391"/>
    <s v="Dongguan Wellsun Plastic"/>
    <m/>
    <s v="Plastic"/>
    <x v="0"/>
    <x v="4"/>
    <d v="2024-11-01T00:00:00"/>
    <m/>
    <n v="0.13700000000000001"/>
    <n v="0.15106249999999999"/>
    <n v="1.40625E-2"/>
    <n v="0"/>
    <n v="1"/>
    <n v="0.13700000000000001"/>
    <n v="890000"/>
    <n v="1563000"/>
    <n v="225000"/>
    <n v="203020.3125"/>
    <s v="PC2456"/>
    <s v="Milky translucent"/>
    <n v="0.9"/>
    <m/>
    <m/>
    <m/>
    <n v="134445.625"/>
    <m/>
    <n v="801"/>
    <m/>
  </r>
  <r>
    <x v="0"/>
    <s v="RCS DEVICE"/>
    <s v="Light guide"/>
    <s v="130040670019391"/>
    <s v="Dongguan Wellsun Plastic"/>
    <m/>
    <s v="Plastic"/>
    <x v="0"/>
    <x v="5"/>
    <d v="2024-11-01T00:00:00"/>
    <m/>
    <n v="0.13700000000000001"/>
    <n v="0.15106249999999999"/>
    <n v="1.40625E-2"/>
    <n v="0"/>
    <n v="1"/>
    <n v="0.13700000000000001"/>
    <n v="664000"/>
    <n v="673000"/>
    <n v="225000"/>
    <n v="215535.9375"/>
    <s v="PC2456"/>
    <s v="Milky translucent"/>
    <n v="0.9"/>
    <m/>
    <m/>
    <m/>
    <n v="100305.49999999999"/>
    <m/>
    <n v="597.6"/>
    <m/>
  </r>
  <r>
    <x v="0"/>
    <s v="RCS DEVICE"/>
    <s v="Light guide"/>
    <s v="130040670019391"/>
    <s v="Dongguan Wellsun Plastic"/>
    <m/>
    <s v="Plastic"/>
    <x v="0"/>
    <x v="6"/>
    <d v="2024-11-01T00:00:00"/>
    <m/>
    <n v="0.13700000000000001"/>
    <n v="0.15106249999999999"/>
    <n v="1.40625E-2"/>
    <n v="0"/>
    <n v="1"/>
    <n v="0.13700000000000001"/>
    <n v="4000"/>
    <n v="9000"/>
    <n v="225000"/>
    <n v="224873.4375"/>
    <s v="PC2456"/>
    <s v="Milky translucent"/>
    <n v="0.9"/>
    <m/>
    <m/>
    <m/>
    <n v="604.25"/>
    <m/>
    <n v="3.6"/>
    <m/>
  </r>
  <r>
    <x v="0"/>
    <s v="RCS DEVICE"/>
    <s v="Light guide"/>
    <s v="130040670019391"/>
    <s v="Dongguan Wellsun Plastic"/>
    <m/>
    <s v="Plastic"/>
    <x v="1"/>
    <x v="8"/>
    <d v="2024-11-01T00:00:00"/>
    <m/>
    <n v="0.13700000000000001"/>
    <n v="0.15106249999999999"/>
    <n v="1.40625E-2"/>
    <n v="0"/>
    <n v="1"/>
    <n v="0.13700000000000001"/>
    <n v="5000"/>
    <n v="5000"/>
    <n v="225000"/>
    <n v="224929.6875"/>
    <s v="PC2456"/>
    <s v="Milky translucent"/>
    <n v="0.9"/>
    <m/>
    <m/>
    <m/>
    <n v="755.31249999999989"/>
    <m/>
    <n v="4.5"/>
    <m/>
  </r>
  <r>
    <x v="1"/>
    <s v="MODI"/>
    <s v="Cartridge tank"/>
    <s v="130040670043027"/>
    <s v="Dongguan Wellsun Plastic"/>
    <m/>
    <s v="Plastic"/>
    <x v="2"/>
    <x v="11"/>
    <d v="2025-03-06T00:00:00"/>
    <m/>
    <n v="0.95274999999999999"/>
    <n v="1"/>
    <n v="4.725E-2"/>
    <m/>
    <n v="1"/>
    <n v="0.95274999999999999"/>
    <n v="0"/>
    <n v="559134"/>
    <n v="433248"/>
    <n v="406828.91850000003"/>
    <s v="PCTG 1501"/>
    <m/>
    <n v="14.4"/>
    <m/>
    <m/>
    <m/>
    <n v="0"/>
    <m/>
    <n v="0"/>
    <m/>
  </r>
  <r>
    <x v="1"/>
    <s v="MODI"/>
    <s v="Cartridge tank"/>
    <s v="130040670043027"/>
    <s v="Dongguan Wellsun Plastic"/>
    <m/>
    <s v="Plastic"/>
    <x v="2"/>
    <x v="7"/>
    <d v="2025-02-17T00:00:00"/>
    <m/>
    <n v="1.0355000000000001"/>
    <n v="1.0827500000000001"/>
    <n v="4.725E-2"/>
    <m/>
    <n v="1"/>
    <n v="1.0355000000000001"/>
    <n v="7614"/>
    <n v="559134"/>
    <n v="433248"/>
    <n v="406828.91850000003"/>
    <s v="PCTG 1501"/>
    <s v="Semi-transparent green "/>
    <n v="14.4"/>
    <m/>
    <m/>
    <m/>
    <n v="8244.058500000001"/>
    <m/>
    <n v="109.64160000000001"/>
    <m/>
  </r>
  <r>
    <x v="1"/>
    <s v="MODI"/>
    <s v="Cartridge tank"/>
    <s v="130040670043027"/>
    <s v="Dongguan Wellsun Plastic"/>
    <m/>
    <s v="Plastic"/>
    <x v="2"/>
    <x v="7"/>
    <d v="2025-02-17T00:00:00"/>
    <m/>
    <n v="1.0355000000000001"/>
    <n v="1.0827500000000001"/>
    <n v="4.725E-2"/>
    <m/>
    <n v="1"/>
    <n v="1.0355000000000001"/>
    <n v="30830"/>
    <m/>
    <m/>
    <m/>
    <s v="PCTG 1501"/>
    <s v="Blue semi-transparent"/>
    <m/>
    <m/>
    <m/>
    <m/>
    <m/>
    <m/>
    <m/>
    <m/>
  </r>
  <r>
    <x v="1"/>
    <s v="MODI"/>
    <s v="Cartridge tank"/>
    <s v="130040670043027"/>
    <s v="Dongguan Wellsun Plastic"/>
    <m/>
    <s v="Plastic"/>
    <x v="2"/>
    <x v="7"/>
    <d v="2025-02-17T00:00:00"/>
    <m/>
    <n v="1.0355000000000001"/>
    <n v="1.0827500000000001"/>
    <n v="4.725E-2"/>
    <m/>
    <n v="1"/>
    <n v="1.0355000000000001"/>
    <n v="11520"/>
    <m/>
    <m/>
    <m/>
    <s v="PCTG 1501"/>
    <s v="Purple semi-transparent"/>
    <m/>
    <m/>
    <m/>
    <m/>
    <m/>
    <m/>
    <m/>
    <m/>
  </r>
  <r>
    <x v="1"/>
    <s v="MODI"/>
    <s v="Cartridge tank"/>
    <s v="130040670043027"/>
    <s v="Dongguan Wellsun Plastic"/>
    <m/>
    <s v="Plastic"/>
    <x v="0"/>
    <x v="8"/>
    <d v="2025-01-08T00:00:00"/>
    <m/>
    <n v="1.0355000000000001"/>
    <n v="1.0827500000000001"/>
    <n v="4.725E-2"/>
    <m/>
    <n v="1"/>
    <n v="1.0355000000000001"/>
    <n v="58594"/>
    <n v="509170"/>
    <n v="433248"/>
    <n v="409189.71750000003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63442.653500000008"/>
    <m/>
    <n v="843.75360000000001"/>
    <m/>
  </r>
  <r>
    <x v="1"/>
    <s v="MODI"/>
    <s v="Cartridge tank"/>
    <s v="130040670043027"/>
    <s v="Dongguan Wellsun Plastic"/>
    <m/>
    <s v="Plastic"/>
    <x v="0"/>
    <x v="9"/>
    <d v="2024-12-03T00:00:00"/>
    <m/>
    <n v="1.0355000000000001"/>
    <n v="1.0827500000000001"/>
    <n v="4.725E-2"/>
    <m/>
    <n v="1"/>
    <n v="1.0355000000000001"/>
    <n v="10268"/>
    <n v="450576"/>
    <n v="433248"/>
    <n v="411958.28399999999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1117.677000000001"/>
    <m/>
    <n v="147.85920000000002"/>
    <m/>
  </r>
  <r>
    <x v="1"/>
    <s v="MODI"/>
    <s v="Cartridge tank"/>
    <s v="130040670043027"/>
    <s v="Dongguan Wellsun Plastic"/>
    <m/>
    <s v="Plastic"/>
    <x v="0"/>
    <x v="10"/>
    <d v="2024-11-05T00:00:00"/>
    <m/>
    <n v="1.0355000000000001"/>
    <n v="1.0827500000000001"/>
    <n v="4.725E-2"/>
    <m/>
    <n v="1"/>
    <n v="1.0355000000000001"/>
    <n v="146312"/>
    <n v="440308"/>
    <n v="433248"/>
    <n v="412443.44699999999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58419.31800000003"/>
    <m/>
    <n v="2106.8928000000001"/>
    <m/>
  </r>
  <r>
    <x v="1"/>
    <s v="MODI"/>
    <s v="Cartridge tank"/>
    <s v="130040670043027"/>
    <s v="Dongguan Wellsun Plastic"/>
    <m/>
    <s v="Plastic"/>
    <x v="0"/>
    <x v="0"/>
    <d v="2024-11-01T00:00:00"/>
    <m/>
    <n v="1.0355000000000001"/>
    <n v="1.0827500000000001"/>
    <n v="4.725E-2"/>
    <n v="0"/>
    <n v="1"/>
    <n v="1.0355000000000001"/>
    <n v="102721"/>
    <n v="293996"/>
    <n v="433248"/>
    <n v="419356.68900000001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11221.16275"/>
    <n v="0"/>
    <n v="1479.1824000000001"/>
    <s v="3次ECN"/>
  </r>
  <r>
    <x v="1"/>
    <s v="MODI"/>
    <s v="Cartridge tank"/>
    <s v="130040670043027"/>
    <s v="Dongguan Wellsun Plastic"/>
    <m/>
    <s v="Plastic"/>
    <x v="0"/>
    <x v="1"/>
    <d v="2024-11-01T00:00:00"/>
    <m/>
    <n v="1.0355000000000001"/>
    <n v="1.0827500000000001"/>
    <n v="4.725E-2"/>
    <n v="0"/>
    <n v="1"/>
    <n v="1.0355000000000001"/>
    <n v="159000"/>
    <n v="191275"/>
    <n v="433248"/>
    <n v="424210.25624999998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72157.25000000003"/>
    <m/>
    <n v="2289.6"/>
    <m/>
  </r>
  <r>
    <x v="1"/>
    <s v="MODI"/>
    <s v="Cartridge tank"/>
    <s v="130040670043027"/>
    <s v="Dongguan Wellsun Plastic"/>
    <m/>
    <s v="Plastic"/>
    <x v="0"/>
    <x v="2"/>
    <d v="2024-11-01T00:00:00"/>
    <m/>
    <n v="1.0355000000000001"/>
    <n v="1.0827500000000001"/>
    <n v="4.725E-2"/>
    <n v="0"/>
    <n v="1"/>
    <n v="1.0355000000000001"/>
    <n v="6900"/>
    <n v="32275"/>
    <n v="433248"/>
    <n v="431723.00624999998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7470.9750000000004"/>
    <m/>
    <n v="99.36"/>
    <m/>
  </r>
  <r>
    <x v="1"/>
    <s v="MODI"/>
    <s v="Cartridge tank"/>
    <s v="130040670043027"/>
    <s v="Dongguan Wellsun Plastic"/>
    <m/>
    <s v="Plastic"/>
    <x v="0"/>
    <x v="4"/>
    <d v="2024-11-01T00:00:00"/>
    <m/>
    <n v="1.0355000000000001"/>
    <n v="1.0827500000000001"/>
    <n v="4.725E-2"/>
    <n v="0"/>
    <n v="1"/>
    <n v="1.0355000000000001"/>
    <n v="15335"/>
    <n v="25375"/>
    <n v="433248"/>
    <n v="432049.0312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6603.971250000002"/>
    <m/>
    <n v="220.82400000000001"/>
    <m/>
  </r>
  <r>
    <x v="1"/>
    <s v="MODI"/>
    <s v="Cartridge tank"/>
    <s v="130040670043027"/>
    <s v="Dongguan Wellsun Plastic"/>
    <m/>
    <s v="Plastic"/>
    <x v="0"/>
    <x v="5"/>
    <d v="2024-11-01T00:00:00"/>
    <m/>
    <n v="1.0355000000000001"/>
    <n v="1.0827500000000001"/>
    <n v="4.725E-2"/>
    <n v="0"/>
    <n v="1"/>
    <n v="1.0355000000000001"/>
    <n v="1040"/>
    <n v="10040"/>
    <n v="433248"/>
    <n v="432773.61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126.0600000000002"/>
    <m/>
    <n v="14.976000000000001"/>
    <m/>
  </r>
  <r>
    <x v="1"/>
    <s v="MODI"/>
    <s v="Cartridge tank"/>
    <s v="130040670043027"/>
    <s v="Dongguan Wellsun Plastic"/>
    <m/>
    <s v="Plastic"/>
    <x v="0"/>
    <x v="6"/>
    <d v="2024-11-01T00:00:00"/>
    <m/>
    <n v="1.0355000000000001"/>
    <n v="1.0827500000000001"/>
    <n v="4.725E-2"/>
    <n v="0"/>
    <n v="1"/>
    <n v="1.0355000000000001"/>
    <n v="8000"/>
    <n v="9000"/>
    <n v="433248"/>
    <n v="432822.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8662"/>
    <m/>
    <n v="115.2"/>
    <m/>
  </r>
  <r>
    <x v="1"/>
    <s v="MODI"/>
    <s v="Cartridge tank"/>
    <s v="130040670043027"/>
    <s v="Dongguan Wellsun Plastic"/>
    <m/>
    <s v="Plastic"/>
    <x v="0"/>
    <x v="11"/>
    <d v="2024-11-01T00:00:00"/>
    <m/>
    <n v="1.0355000000000001"/>
    <n v="1.0827500000000001"/>
    <n v="4.725E-2"/>
    <n v="0"/>
    <n v="1"/>
    <n v="1.0355000000000001"/>
    <n v="1000"/>
    <n v="1000"/>
    <n v="433248"/>
    <n v="433200.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082.75"/>
    <m/>
    <n v="14.4"/>
    <m/>
  </r>
  <r>
    <x v="2"/>
    <s v="MODI"/>
    <s v="Cartridge tank"/>
    <s v="130040670023444"/>
    <s v="Dongguan Wellsun Plastic"/>
    <m/>
    <s v="Plastic"/>
    <x v="2"/>
    <x v="11"/>
    <d v="2025-03-06T00:00:00"/>
    <m/>
    <n v="0.71009999999999995"/>
    <n v="0.744475"/>
    <n v="3.4375000000000003E-2"/>
    <m/>
    <n v="1"/>
    <n v="0.71009999999999995"/>
    <n v="0"/>
    <n v="67500"/>
    <n v="1100000"/>
    <n v="1097679.68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0.5"/>
    <m/>
    <m/>
    <m/>
    <n v="0"/>
    <m/>
    <n v="0"/>
    <m/>
  </r>
  <r>
    <x v="2"/>
    <s v="MODI"/>
    <s v="Cartridge tank"/>
    <s v="130040670023444"/>
    <s v="Dongguan Wellsun Plastic"/>
    <m/>
    <s v="Plastic"/>
    <x v="2"/>
    <x v="7"/>
    <d v="2025-02-17T00:00:00"/>
    <m/>
    <n v="0.71009999999999995"/>
    <n v="0.744475"/>
    <n v="3.4375000000000003E-2"/>
    <m/>
    <n v="1"/>
    <n v="0.71009999999999995"/>
    <n v="0"/>
    <n v="67500"/>
    <n v="1100000"/>
    <n v="1097679.68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0.5"/>
    <m/>
    <m/>
    <m/>
    <n v="0"/>
    <m/>
    <n v="0"/>
    <m/>
  </r>
  <r>
    <x v="2"/>
    <s v="MODI"/>
    <s v="Cartridge tank"/>
    <s v="130040670023444"/>
    <s v="Dongguan Wellsun Plastic"/>
    <m/>
    <s v="Plastic"/>
    <x v="0"/>
    <x v="8"/>
    <d v="2025-01-08T00:00:00"/>
    <m/>
    <n v="0.71009999999999995"/>
    <n v="0.744475"/>
    <n v="3.4375000000000003E-2"/>
    <m/>
    <n v="1"/>
    <n v="0.71009999999999995"/>
    <n v="0"/>
    <n v="67500"/>
    <n v="1100000"/>
    <n v="1097679.68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0.5"/>
    <m/>
    <m/>
    <m/>
    <n v="0"/>
    <m/>
    <n v="0"/>
    <m/>
  </r>
  <r>
    <x v="2"/>
    <s v="MODI"/>
    <s v="Cartridge tank"/>
    <s v="130040670023444"/>
    <s v="Dongguan Wellsun Plastic"/>
    <m/>
    <s v="Plastic"/>
    <x v="0"/>
    <x v="9"/>
    <d v="2024-12-03T00:00:00"/>
    <m/>
    <n v="0.71009999999999995"/>
    <n v="0.744475"/>
    <n v="3.4375000000000003E-2"/>
    <m/>
    <n v="1"/>
    <n v="0.71009999999999995"/>
    <n v="0"/>
    <n v="67500"/>
    <n v="1100000"/>
    <n v="1097679.68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0.5"/>
    <m/>
    <m/>
    <m/>
    <n v="0"/>
    <m/>
    <n v="0"/>
    <m/>
  </r>
  <r>
    <x v="2"/>
    <s v="MODI"/>
    <s v="Cartridge tank"/>
    <s v="130040670023444"/>
    <s v="Dongguan Wellsun Plastic"/>
    <m/>
    <s v="Plastic"/>
    <x v="0"/>
    <x v="10"/>
    <d v="2024-11-05T00:00:00"/>
    <m/>
    <n v="0.71009999999999995"/>
    <n v="0.744475"/>
    <n v="3.4375000000000003E-2"/>
    <m/>
    <n v="1"/>
    <n v="0.71009999999999995"/>
    <n v="65000"/>
    <n v="67500"/>
    <n v="1100000"/>
    <n v="1097679.68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0.5"/>
    <m/>
    <m/>
    <m/>
    <n v="48390.875"/>
    <m/>
    <n v="682.5"/>
    <m/>
  </r>
  <r>
    <x v="2"/>
    <s v="MODI"/>
    <s v="Cartridge tank"/>
    <s v="130040670023444"/>
    <s v="Dongguan Wellsun Plastic"/>
    <m/>
    <s v="Plastic"/>
    <x v="0"/>
    <x v="0"/>
    <d v="2024-11-01T00:00:00"/>
    <m/>
    <n v="0.71009999999999995"/>
    <n v="0.744475"/>
    <n v="3.4375000000000003E-2"/>
    <n v="0"/>
    <n v="1"/>
    <n v="0.71009999999999995"/>
    <n v="2500"/>
    <n v="2500"/>
    <n v="1100000"/>
    <n v="1099914.062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0.5"/>
    <m/>
    <m/>
    <m/>
    <n v="1861.1875"/>
    <n v="0"/>
    <n v="26.25"/>
    <m/>
  </r>
  <r>
    <x v="2"/>
    <s v="MODI"/>
    <s v="Heater top cover"/>
    <s v="130040670023445"/>
    <s v="Dongguan Wellsun Plastic"/>
    <s v="Box 8000 Full 2.0"/>
    <s v="Plastic"/>
    <x v="2"/>
    <x v="11"/>
    <d v="2025-03-06T00:00:00"/>
    <m/>
    <n v="0.13009999999999999"/>
    <n v="0.15353749999999999"/>
    <n v="2.34375E-2"/>
    <m/>
    <n v="1"/>
    <n v="0.13009999999999999"/>
    <n v="0"/>
    <n v="2681460"/>
    <n v="750000"/>
    <n v="687153.28125"/>
    <s v="PCTG 1501"/>
    <s v="Transparent"/>
    <n v="1.2"/>
    <m/>
    <m/>
    <m/>
    <n v="0"/>
    <n v="0"/>
    <n v="0"/>
    <m/>
  </r>
  <r>
    <x v="2"/>
    <s v="MODI"/>
    <s v="Heater top cover"/>
    <s v="130040670023445"/>
    <s v="Dongguan Wellsun Plastic"/>
    <s v="Box 8000 Full 2.0"/>
    <s v="Plastic"/>
    <x v="2"/>
    <x v="7"/>
    <d v="2025-02-17T00:00:00"/>
    <m/>
    <n v="0.13009999999999999"/>
    <n v="0.15353749999999999"/>
    <n v="2.34375E-2"/>
    <m/>
    <n v="1"/>
    <n v="0.13009999999999999"/>
    <n v="0"/>
    <n v="2681460"/>
    <n v="750000"/>
    <n v="687153.28125"/>
    <s v="PCTG 1501"/>
    <s v="Transparent"/>
    <n v="1.2"/>
    <m/>
    <m/>
    <m/>
    <n v="0"/>
    <n v="0"/>
    <n v="0"/>
    <m/>
  </r>
  <r>
    <x v="2"/>
    <s v="MODI"/>
    <s v="Heater top cover"/>
    <s v="130040670023445"/>
    <s v="Dongguan Wellsun Plastic"/>
    <s v="Box 8000 Full 2.0"/>
    <s v="Plastic"/>
    <x v="0"/>
    <x v="8"/>
    <d v="2025-01-08T00:00:00"/>
    <m/>
    <n v="0.13009999999999999"/>
    <n v="0.15353749999999999"/>
    <n v="2.34375E-2"/>
    <m/>
    <n v="1"/>
    <n v="0.13009999999999999"/>
    <n v="227460"/>
    <n v="2681460"/>
    <n v="750000"/>
    <n v="687153.28125"/>
    <s v="PCTG 1501"/>
    <s v="Transparent"/>
    <n v="1.2"/>
    <m/>
    <m/>
    <m/>
    <n v="34923.639750000002"/>
    <n v="0"/>
    <n v="272.952"/>
    <m/>
  </r>
  <r>
    <x v="2"/>
    <s v="MODI"/>
    <s v="Heater top cover"/>
    <s v="130040670023445"/>
    <s v="Dongguan Wellsun Plastic"/>
    <s v="Box 8000 Full 2.0"/>
    <s v="Plastic"/>
    <x v="0"/>
    <x v="9"/>
    <d v="2024-12-03T00:00:00"/>
    <m/>
    <n v="0.13009999999999999"/>
    <n v="0.15353749999999999"/>
    <n v="2.34375E-2"/>
    <m/>
    <n v="1"/>
    <n v="0.13009999999999999"/>
    <n v="861600"/>
    <n v="2454000"/>
    <n v="750000"/>
    <n v="692484.375"/>
    <s v="PCTG 1501"/>
    <s v="Transparent"/>
    <n v="1.2"/>
    <m/>
    <m/>
    <m/>
    <n v="132287.91"/>
    <n v="0"/>
    <n v="1033.92"/>
    <m/>
  </r>
  <r>
    <x v="2"/>
    <s v="MODI"/>
    <s v="Heater top cover"/>
    <s v="130040670023445"/>
    <s v="Dongguan Wellsun Plastic"/>
    <s v="Box 8000 Full 2.0"/>
    <s v="Plastic"/>
    <x v="0"/>
    <x v="0"/>
    <d v="2024-11-01T00:00:00"/>
    <m/>
    <n v="0.13009999999999999"/>
    <n v="0.15353749999999999"/>
    <n v="2.34375E-2"/>
    <n v="0"/>
    <n v="1"/>
    <n v="0.13009999999999999"/>
    <n v="1228700"/>
    <n v="1592400"/>
    <n v="750000"/>
    <n v="712678.125"/>
    <s v="PCTG 1501"/>
    <s v="Transparent"/>
    <n v="1.2"/>
    <m/>
    <m/>
    <m/>
    <n v="188651.52625"/>
    <n v="0"/>
    <n v="1474.44"/>
    <m/>
  </r>
  <r>
    <x v="2"/>
    <s v="MODI"/>
    <s v="Heater top cover"/>
    <s v="130040670023445"/>
    <s v="Dongguan Wellsun Plastic"/>
    <s v="Box 8000 Full 2.0"/>
    <s v="Plastic"/>
    <x v="0"/>
    <x v="1"/>
    <d v="2024-11-01T00:00:00"/>
    <m/>
    <n v="0.13009999999999999"/>
    <n v="0.15353749999999999"/>
    <n v="2.34375E-2"/>
    <n v="0"/>
    <n v="1"/>
    <n v="0.13009999999999999"/>
    <n v="363700"/>
    <n v="363700"/>
    <n v="750000"/>
    <n v="741475.78125"/>
    <s v="PCTG 1501"/>
    <s v="Transparent"/>
    <n v="1.2"/>
    <m/>
    <m/>
    <m/>
    <n v="55841.588749999995"/>
    <m/>
    <n v="436.44"/>
    <m/>
  </r>
  <r>
    <x v="2"/>
    <s v="MODI"/>
    <s v="Heating holder"/>
    <s v="130040670023448"/>
    <s v="Dongguan Wellsun Plastic"/>
    <s v="Box 8000 Full 2.0"/>
    <s v="Plastic"/>
    <x v="2"/>
    <x v="11"/>
    <d v="2025-03-06T00:00:00"/>
    <m/>
    <n v="0.1404"/>
    <n v="0.16289999999999999"/>
    <n v="2.2499999999999999E-2"/>
    <m/>
    <n v="1"/>
    <n v="0.1404"/>
    <n v="0"/>
    <n v="2996004"/>
    <n v="720000"/>
    <n v="652589.91"/>
    <s v="PCTG 1501"/>
    <s v="Transparent"/>
    <n v="1.4"/>
    <m/>
    <m/>
    <m/>
    <n v="0"/>
    <m/>
    <n v="0"/>
    <m/>
  </r>
  <r>
    <x v="2"/>
    <s v="MODI"/>
    <s v="Heating holder"/>
    <s v="130040670023448"/>
    <s v="Dongguan Wellsun Plastic"/>
    <s v="Box 8000 Full 2.0"/>
    <s v="Plastic"/>
    <x v="2"/>
    <x v="7"/>
    <d v="2025-02-17T00:00:00"/>
    <m/>
    <n v="0.1404"/>
    <n v="0.16289999999999999"/>
    <n v="2.2499999999999999E-2"/>
    <m/>
    <n v="1"/>
    <n v="0.1404"/>
    <n v="0"/>
    <n v="2996004"/>
    <n v="720000"/>
    <n v="652589.91"/>
    <s v="PCTG 1501"/>
    <s v="Transparent"/>
    <n v="1.4"/>
    <m/>
    <m/>
    <m/>
    <n v="0"/>
    <m/>
    <n v="0"/>
    <m/>
  </r>
  <r>
    <x v="2"/>
    <s v="MODI"/>
    <s v="Heating holder"/>
    <s v="130040670023448"/>
    <s v="Dongguan Wellsun Plastic"/>
    <s v="Box 8000 Full 2.0"/>
    <s v="Plastic"/>
    <x v="0"/>
    <x v="8"/>
    <d v="2025-01-08T00:00:00"/>
    <m/>
    <n v="0.1404"/>
    <n v="0.16289999999999999"/>
    <n v="2.2499999999999999E-2"/>
    <m/>
    <n v="1"/>
    <n v="0.1404"/>
    <n v="396004"/>
    <n v="2996004"/>
    <n v="720000"/>
    <n v="652589.91"/>
    <s v="PCTG 1501"/>
    <s v="Transparent"/>
    <n v="1.4"/>
    <m/>
    <m/>
    <m/>
    <n v="64509.051599999999"/>
    <m/>
    <n v="554.40559999999994"/>
    <m/>
  </r>
  <r>
    <x v="2"/>
    <s v="MODI"/>
    <s v="Heating holder"/>
    <s v="130040670023448"/>
    <s v="Dongguan Wellsun Plastic"/>
    <s v="Box 8000 Full 2.0"/>
    <s v="Plastic"/>
    <x v="0"/>
    <x v="9"/>
    <d v="2024-12-03T00:00:00"/>
    <m/>
    <n v="0.1404"/>
    <n v="0.16289999999999999"/>
    <n v="2.2499999999999999E-2"/>
    <m/>
    <n v="1"/>
    <n v="0.1404"/>
    <n v="420000"/>
    <n v="2600000"/>
    <n v="720000"/>
    <n v="661500"/>
    <s v="PCTG 1501"/>
    <s v="Transparent"/>
    <n v="1.4"/>
    <m/>
    <m/>
    <m/>
    <n v="68418"/>
    <m/>
    <n v="588"/>
    <m/>
  </r>
  <r>
    <x v="2"/>
    <s v="MODI"/>
    <s v="Heating holder"/>
    <s v="130040670023448"/>
    <s v="Dongguan Wellsun Plastic"/>
    <s v="Box 8000 Full 2.0"/>
    <s v="Plastic"/>
    <x v="0"/>
    <x v="10"/>
    <d v="2024-11-05T00:00:00"/>
    <m/>
    <n v="0.1404"/>
    <n v="0.16289999999999999"/>
    <n v="2.2499999999999999E-2"/>
    <m/>
    <n v="1"/>
    <n v="0.1404"/>
    <n v="410000"/>
    <n v="2180000"/>
    <n v="720000"/>
    <n v="670950"/>
    <s v="PCTG 1501"/>
    <s v="Transparent"/>
    <n v="1.4"/>
    <m/>
    <m/>
    <m/>
    <n v="66789"/>
    <m/>
    <n v="574"/>
    <m/>
  </r>
  <r>
    <x v="2"/>
    <s v="MODI"/>
    <s v="Heating holder"/>
    <s v="130040670023448"/>
    <s v="Dongguan Wellsun Plastic"/>
    <s v="Box 8000 Full 2.0"/>
    <s v="Plastic"/>
    <x v="0"/>
    <x v="0"/>
    <d v="2024-11-01T00:00:00"/>
    <m/>
    <n v="0.1404"/>
    <n v="0.16289999999999999"/>
    <n v="2.2499999999999999E-2"/>
    <n v="0"/>
    <n v="1"/>
    <n v="0.1404"/>
    <n v="1440000"/>
    <n v="1770000"/>
    <n v="720000"/>
    <n v="680175"/>
    <s v="PCTG 1501"/>
    <s v="Transparent"/>
    <n v="1.4"/>
    <m/>
    <m/>
    <m/>
    <n v="234575.99999999997"/>
    <n v="0"/>
    <n v="2015.9999999999998"/>
    <m/>
  </r>
  <r>
    <x v="2"/>
    <s v="MODI"/>
    <s v="Heating holder"/>
    <s v="130040670023448"/>
    <s v="Dongguan Wellsun Plastic"/>
    <s v="Box 8000 Full 2.0"/>
    <s v="Plastic"/>
    <x v="0"/>
    <x v="1"/>
    <d v="2024-11-01T00:00:00"/>
    <m/>
    <n v="0.1404"/>
    <n v="0.16289999999999999"/>
    <n v="2.2499999999999999E-2"/>
    <n v="0"/>
    <n v="1"/>
    <n v="0.1404"/>
    <n v="330000"/>
    <n v="330000"/>
    <n v="720000"/>
    <n v="712575"/>
    <s v="PCTG 1501"/>
    <s v="Transparent"/>
    <n v="1.4"/>
    <m/>
    <m/>
    <m/>
    <n v="53757"/>
    <m/>
    <n v="461.99999999999994"/>
    <m/>
  </r>
  <r>
    <x v="2"/>
    <s v="MODI"/>
    <s v="Bottom cover"/>
    <s v="130040670023442"/>
    <s v="Dongguan Wellsun Plastic"/>
    <s v="Box 8000 Full 2.0"/>
    <s v="Plastic"/>
    <x v="2"/>
    <x v="11"/>
    <d v="2025-03-06T00:00:00"/>
    <m/>
    <n v="0.1628"/>
    <n v="0.19405"/>
    <n v="3.125E-2"/>
    <m/>
    <n v="1"/>
    <n v="0.1628"/>
    <n v="0"/>
    <n v="235493"/>
    <n v="1000000"/>
    <n v="992640.843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0"/>
    <m/>
    <n v="0"/>
    <m/>
  </r>
  <r>
    <x v="2"/>
    <s v="MODI"/>
    <s v="Bottom cover"/>
    <s v="130040670023442"/>
    <s v="Dongguan Wellsun Plastic"/>
    <s v="Box 8000 Full 2.0"/>
    <s v="Plastic"/>
    <x v="2"/>
    <x v="7"/>
    <d v="2025-02-17T00:00:00"/>
    <m/>
    <n v="0.1628"/>
    <n v="0.19405"/>
    <n v="3.125E-2"/>
    <m/>
    <n v="1"/>
    <n v="0.1628"/>
    <n v="0"/>
    <n v="235493"/>
    <n v="1000000"/>
    <n v="992640.843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0"/>
    <m/>
    <n v="0"/>
    <m/>
  </r>
  <r>
    <x v="2"/>
    <s v="MODI"/>
    <s v="Bottom cover"/>
    <s v="130040670023442"/>
    <s v="Dongguan Wellsun Plastic"/>
    <s v="Box 8000 Full 2.0"/>
    <s v="Plastic"/>
    <x v="0"/>
    <x v="8"/>
    <d v="2025-01-08T00:00:00"/>
    <m/>
    <n v="0.1628"/>
    <n v="0.19405"/>
    <n v="3.125E-2"/>
    <m/>
    <n v="1"/>
    <n v="0.1628"/>
    <n v="0"/>
    <n v="235493"/>
    <n v="1000000"/>
    <n v="992640.843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0"/>
    <m/>
    <n v="0"/>
    <m/>
  </r>
  <r>
    <x v="2"/>
    <s v="MODI"/>
    <s v="Bottom cover"/>
    <s v="130040670023442"/>
    <s v="Dongguan Wellsun Plastic"/>
    <s v="Box 8000 Full 2.0"/>
    <s v="Plastic"/>
    <x v="0"/>
    <x v="9"/>
    <d v="2024-12-03T00:00:00"/>
    <m/>
    <n v="0.1628"/>
    <n v="0.19405"/>
    <n v="3.125E-2"/>
    <m/>
    <n v="1"/>
    <n v="0.1628"/>
    <n v="42500"/>
    <n v="235493"/>
    <n v="1000000"/>
    <n v="992640.843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8247.125"/>
    <m/>
    <n v="72.25"/>
    <m/>
  </r>
  <r>
    <x v="2"/>
    <s v="MODI"/>
    <s v="Bottom cover"/>
    <s v="130040670023442"/>
    <s v="Dongguan Wellsun Plastic"/>
    <s v="Box 8000 Full 2.0"/>
    <s v="Plastic"/>
    <x v="0"/>
    <x v="10"/>
    <d v="2024-11-05T00:00:00"/>
    <m/>
    <n v="0.1628"/>
    <n v="0.19405"/>
    <n v="3.125E-2"/>
    <m/>
    <n v="1"/>
    <n v="0.1628"/>
    <n v="75043"/>
    <n v="192993"/>
    <n v="1000000"/>
    <n v="993968.968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14562.094150000001"/>
    <m/>
    <n v="127.5731"/>
    <m/>
  </r>
  <r>
    <x v="2"/>
    <s v="MODI"/>
    <s v="Bottom cover"/>
    <s v="130040670023442"/>
    <s v="Dongguan Wellsun Plastic"/>
    <s v="Box 8000 Full 2.0"/>
    <s v="Plastic"/>
    <x v="0"/>
    <x v="0"/>
    <d v="2024-11-01T00:00:00"/>
    <m/>
    <n v="0.1628"/>
    <n v="0.19405"/>
    <n v="3.125E-2"/>
    <n v="0"/>
    <n v="1"/>
    <n v="0.1628"/>
    <n v="105000"/>
    <n v="117950"/>
    <n v="1000000"/>
    <n v="996314.062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20375.25"/>
    <n v="0"/>
    <n v="178.5"/>
    <m/>
  </r>
  <r>
    <x v="2"/>
    <s v="MODI"/>
    <s v="Bottom cover"/>
    <s v="130040670023442"/>
    <s v="Dongguan Wellsun Plastic"/>
    <s v="Box 8000 Full 2.0"/>
    <s v="Plastic"/>
    <x v="0"/>
    <x v="1"/>
    <d v="2024-11-01T00:00:00"/>
    <m/>
    <n v="0.1628"/>
    <n v="0.19405"/>
    <n v="3.125E-2"/>
    <n v="0"/>
    <n v="1"/>
    <n v="0.1628"/>
    <n v="12950"/>
    <n v="12950"/>
    <n v="1000000"/>
    <n v="999595.312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2512.9475000000002"/>
    <m/>
    <n v="22.015000000000001"/>
    <m/>
  </r>
  <r>
    <x v="2"/>
    <s v="MODI"/>
    <s v="Inner bracket"/>
    <s v="130040670023440"/>
    <s v="Dongguan Wellsun Plastic"/>
    <s v="Box 8000 Full 2.0"/>
    <s v="Plastic"/>
    <x v="2"/>
    <x v="11"/>
    <d v="2025-03-06T00:00:00"/>
    <m/>
    <n v="0.21"/>
    <n v="0.245"/>
    <n v="3.5000000000000003E-2"/>
    <m/>
    <n v="1"/>
    <n v="0.21"/>
    <n v="0"/>
    <n v="186392"/>
    <n v="1120000"/>
    <n v="1113476.28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0"/>
    <m/>
    <n v="0"/>
    <m/>
  </r>
  <r>
    <x v="2"/>
    <s v="MODI"/>
    <s v="Inner bracket"/>
    <s v="130040670023440"/>
    <s v="Dongguan Wellsun Plastic"/>
    <s v="Box 8000 Full 2.0"/>
    <s v="Plastic"/>
    <x v="2"/>
    <x v="7"/>
    <d v="2025-02-17T00:00:00"/>
    <m/>
    <n v="0.21"/>
    <n v="0.245"/>
    <n v="3.5000000000000003E-2"/>
    <m/>
    <n v="1"/>
    <n v="0.21"/>
    <n v="0"/>
    <n v="186392"/>
    <n v="1120000"/>
    <n v="1113476.28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0"/>
    <m/>
    <n v="0"/>
    <m/>
  </r>
  <r>
    <x v="2"/>
    <s v="MODI"/>
    <s v="Inner bracket"/>
    <s v="130040670023440"/>
    <s v="Dongguan Wellsun Plastic"/>
    <s v="Box 8000 Full 2.0"/>
    <s v="Plastic"/>
    <x v="0"/>
    <x v="8"/>
    <d v="2025-01-08T00:00:00"/>
    <m/>
    <n v="0.21"/>
    <n v="0.245"/>
    <n v="3.5000000000000003E-2"/>
    <m/>
    <n v="1"/>
    <n v="0.21"/>
    <n v="0"/>
    <n v="186392"/>
    <n v="1120000"/>
    <n v="1113476.28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0"/>
    <m/>
    <n v="0"/>
    <m/>
  </r>
  <r>
    <x v="2"/>
    <s v="MODI"/>
    <s v="Inner bracket"/>
    <s v="130040670023440"/>
    <s v="Dongguan Wellsun Plastic"/>
    <s v="Box 8000 Full 2.0"/>
    <s v="Plastic"/>
    <x v="0"/>
    <x v="9"/>
    <d v="2024-12-03T00:00:00"/>
    <m/>
    <n v="0.21"/>
    <n v="0.245"/>
    <n v="3.5000000000000003E-2"/>
    <m/>
    <n v="1"/>
    <n v="0.21"/>
    <n v="0"/>
    <n v="186392"/>
    <n v="1120000"/>
    <n v="1113476.28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0"/>
    <m/>
    <n v="0"/>
    <m/>
  </r>
  <r>
    <x v="2"/>
    <s v="MODI"/>
    <s v="Inner bracket"/>
    <s v="130040670023440"/>
    <s v="Dongguan Wellsun Plastic"/>
    <s v="Box 8000 Full 2.0"/>
    <s v="Plastic"/>
    <x v="0"/>
    <x v="10"/>
    <d v="2024-11-05T00:00:00"/>
    <m/>
    <n v="0.21"/>
    <n v="0.245"/>
    <n v="3.5000000000000003E-2"/>
    <m/>
    <n v="1"/>
    <n v="0.21"/>
    <n v="60442"/>
    <n v="186392"/>
    <n v="1120000"/>
    <n v="1113476.28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14808.289999999999"/>
    <m/>
    <n v="157.14920000000001"/>
    <m/>
  </r>
  <r>
    <x v="2"/>
    <s v="MODI"/>
    <s v="Inner bracket"/>
    <s v="130040670023440"/>
    <s v="Dongguan Wellsun Plastic"/>
    <s v="Box 8000 Full 2.0"/>
    <s v="Plastic"/>
    <x v="0"/>
    <x v="0"/>
    <d v="2024-11-01T00:00:00"/>
    <m/>
    <n v="0.21"/>
    <n v="0.245"/>
    <n v="3.5000000000000003E-2"/>
    <n v="0"/>
    <n v="1"/>
    <n v="0.21"/>
    <n v="100000"/>
    <n v="125950"/>
    <n v="1120000"/>
    <n v="1115591.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24500"/>
    <n v="0"/>
    <n v="260"/>
    <m/>
  </r>
  <r>
    <x v="2"/>
    <s v="MODI"/>
    <s v="Inner bracket"/>
    <s v="130040670023440"/>
    <s v="Dongguan Wellsun Plastic"/>
    <s v="Box 8000 Full 2.0"/>
    <s v="Plastic"/>
    <x v="0"/>
    <x v="1"/>
    <d v="2024-11-01T00:00:00"/>
    <m/>
    <n v="0.21"/>
    <n v="0.245"/>
    <n v="3.5000000000000003E-2"/>
    <n v="0"/>
    <n v="1"/>
    <n v="0.21"/>
    <n v="25950"/>
    <n v="25950"/>
    <n v="1120000"/>
    <n v="1119091.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6357.75"/>
    <m/>
    <n v="67.47"/>
    <m/>
  </r>
  <r>
    <x v="0"/>
    <s v="RCS DEVICE"/>
    <s v="Bottom cover-KC"/>
    <s v="130040670019338"/>
    <s v="Dongguan Wellsun Plastic"/>
    <m/>
    <s v="Plastic"/>
    <x v="2"/>
    <x v="11"/>
    <d v="2025-03-06T00:00:00"/>
    <m/>
    <n v="1.536"/>
    <n v="1.5907500000000001"/>
    <n v="5.475E-2"/>
    <m/>
    <n v="1"/>
    <n v="1.536"/>
    <n v="0"/>
    <n v="0"/>
    <n v="219000"/>
    <n v="219000"/>
    <s v="LG PC LUPOY  GP1000ML"/>
    <s v="Yellow,Aqua,Orange,Black,Red,Blue"/>
    <n v="4.5999999999999996"/>
    <m/>
    <s v=" Printing "/>
    <n v="0.62"/>
    <m/>
    <m/>
    <m/>
    <m/>
  </r>
  <r>
    <x v="0"/>
    <s v="RCS DEVICE"/>
    <s v="Bottom cover-KC"/>
    <s v="130040670019338"/>
    <s v="Dongguan Wellsun Plastic"/>
    <m/>
    <s v="Plastic"/>
    <x v="2"/>
    <x v="7"/>
    <d v="2025-02-17T00:00:00"/>
    <m/>
    <n v="1.536"/>
    <n v="1.5907500000000001"/>
    <n v="5.475E-2"/>
    <m/>
    <n v="1"/>
    <n v="1.536"/>
    <n v="0"/>
    <n v="0"/>
    <n v="219000"/>
    <n v="219000"/>
    <s v="LG PC LUPOY  GP1000ML"/>
    <s v="Yellow,Aqua,Orange,Black,Red,Blue"/>
    <n v="4.5999999999999996"/>
    <m/>
    <s v=" Printing "/>
    <n v="0.62"/>
    <m/>
    <m/>
    <m/>
    <m/>
  </r>
  <r>
    <x v="0"/>
    <s v="RCS DEVICE"/>
    <s v="Bottom cover-KC"/>
    <s v="130040670019338"/>
    <s v="Dongguan Wellsun Plastic"/>
    <m/>
    <s v="Plastic"/>
    <x v="0"/>
    <x v="8"/>
    <d v="2025-01-08T00:00:00"/>
    <m/>
    <n v="1.536"/>
    <n v="1.5907500000000001"/>
    <n v="5.475E-2"/>
    <m/>
    <n v="1"/>
    <n v="1.536"/>
    <n v="0"/>
    <n v="0"/>
    <n v="219000"/>
    <n v="219000"/>
    <s v="LG PC LUPOY  GP1000ML"/>
    <s v="Yellow,Aqua,Orange,Black,Red,Blue"/>
    <n v="4.5999999999999996"/>
    <m/>
    <s v=" Printing "/>
    <n v="0.62"/>
    <m/>
    <m/>
    <m/>
    <m/>
  </r>
  <r>
    <x v="0"/>
    <s v="RCS DEVICE"/>
    <s v="Bottom cover-KC"/>
    <s v="130040670019338"/>
    <s v="Dongguan Wellsun Plastic"/>
    <m/>
    <s v="Plastic"/>
    <x v="0"/>
    <x v="9"/>
    <d v="2024-12-03T00:00:00"/>
    <m/>
    <n v="1.536"/>
    <n v="1.5907500000000001"/>
    <n v="5.475E-2"/>
    <n v="0"/>
    <n v="1"/>
    <n v="1.536"/>
    <n v="0"/>
    <n v="0"/>
    <n v="219000"/>
    <n v="219000"/>
    <s v="LG PC LUPOY  GP1000ML"/>
    <s v="Yellow,Aqua,Orange,Black,Red,Blue"/>
    <n v="4.5999999999999996"/>
    <m/>
    <s v=" Printing "/>
    <n v="0.62"/>
    <m/>
    <m/>
    <m/>
    <m/>
  </r>
  <r>
    <x v="0"/>
    <s v="RCS DEVICE"/>
    <s v="Bottom cover-KC"/>
    <s v="130040670019338"/>
    <s v="Dongguan Wellsun Plastic"/>
    <m/>
    <s v="Plastic"/>
    <x v="0"/>
    <x v="0"/>
    <d v="2024-11-01T00:00:00"/>
    <m/>
    <n v="1.536"/>
    <n v="1.5907500000000001"/>
    <n v="5.475E-2"/>
    <n v="0"/>
    <n v="1"/>
    <n v="1.536"/>
    <n v="0"/>
    <n v="0"/>
    <n v="219000"/>
    <n v="219000"/>
    <s v="LG PC LUPOY  GP1000ML"/>
    <s v="Yellow,Aqua,Orange,Black,Red,Blue"/>
    <n v="4.5999999999999996"/>
    <m/>
    <s v=" Printing "/>
    <n v="0.62"/>
    <n v="0"/>
    <n v="0"/>
    <n v="0"/>
    <m/>
  </r>
  <r>
    <x v="3"/>
    <s v="MODI"/>
    <s v="Bottom cover"/>
    <s v="130040670021244"/>
    <s v="Dongguan Wellsun Plastic"/>
    <m/>
    <s v="Plastic"/>
    <x v="2"/>
    <x v="11"/>
    <d v="2025-03-06T00:00:00"/>
    <m/>
    <n v="0.1188"/>
    <n v="0.13439999999999999"/>
    <n v="1.5599999999999999E-2"/>
    <m/>
    <n v="1"/>
    <n v="0.1188"/>
    <n v="180000"/>
    <n v="21432693"/>
    <n v="1043805"/>
    <n v="709454.98919999995"/>
    <s v="LG PC LUPOY  GP1000ML"/>
    <s v="Blue"/>
    <n v="2.9"/>
    <m/>
    <m/>
    <m/>
    <n v="24192"/>
    <m/>
    <n v="522"/>
    <m/>
  </r>
  <r>
    <x v="3"/>
    <s v="MODI"/>
    <s v="Bottom cover"/>
    <s v="130040670021244"/>
    <s v="Dongguan Wellsun Plastic"/>
    <m/>
    <s v="Plastic"/>
    <x v="2"/>
    <x v="11"/>
    <d v="2025-03-06T00:00:00"/>
    <m/>
    <n v="0.1188"/>
    <n v="0.13439999999999999"/>
    <n v="1.5599999999999999E-2"/>
    <m/>
    <n v="1"/>
    <n v="0.1188"/>
    <n v="62988"/>
    <m/>
    <m/>
    <m/>
    <s v="LG PC LUPOY  GP1000ML"/>
    <s v="Aqua"/>
    <n v="2.9"/>
    <m/>
    <m/>
    <m/>
    <n v="8465.5871999999999"/>
    <m/>
    <n v="182.66519999999997"/>
    <m/>
  </r>
  <r>
    <x v="3"/>
    <s v="MODI"/>
    <s v="Bottom cover"/>
    <s v="130040670021244"/>
    <s v="Dongguan Wellsun Plastic"/>
    <m/>
    <s v="Plastic"/>
    <x v="2"/>
    <x v="11"/>
    <d v="2025-03-06T00:00:00"/>
    <m/>
    <n v="0.1188"/>
    <n v="0.13439999999999999"/>
    <n v="1.5599999999999999E-2"/>
    <m/>
    <n v="1"/>
    <n v="0.1188"/>
    <n v="336000"/>
    <m/>
    <m/>
    <m/>
    <s v="LG PC LUPOY  GP1000ML"/>
    <s v="Orange"/>
    <n v="2.9"/>
    <m/>
    <m/>
    <m/>
    <n v="45158.399999999994"/>
    <m/>
    <n v="974.4"/>
    <m/>
  </r>
  <r>
    <x v="3"/>
    <s v="MODI"/>
    <s v="Bottom cover"/>
    <s v="130040670021244"/>
    <s v="Dongguan Wellsun Plastic"/>
    <m/>
    <s v="Plastic"/>
    <x v="2"/>
    <x v="11"/>
    <d v="2025-03-06T00:00:00"/>
    <m/>
    <n v="0.1188"/>
    <n v="0.13439999999999999"/>
    <n v="1.5599999999999999E-2"/>
    <m/>
    <n v="1"/>
    <n v="0.1188"/>
    <n v="100000"/>
    <m/>
    <m/>
    <m/>
    <s v="LG PC LUPOY  GP1000ML"/>
    <s v="mauve"/>
    <n v="2.9"/>
    <m/>
    <m/>
    <m/>
    <n v="13440"/>
    <m/>
    <n v="290"/>
    <m/>
  </r>
  <r>
    <x v="3"/>
    <s v="MODI"/>
    <s v="Bottom cover"/>
    <s v="130040670021244"/>
    <s v="Dongguan Wellsun Plastic"/>
    <m/>
    <s v="Plastic"/>
    <x v="2"/>
    <x v="7"/>
    <d v="2025-02-17T00:00:00"/>
    <m/>
    <n v="0.1348"/>
    <n v="0.15040000000000001"/>
    <n v="1.5599999999999999E-2"/>
    <m/>
    <n v="1"/>
    <n v="0.1348"/>
    <n v="101973"/>
    <n v="20753705"/>
    <n v="1043805"/>
    <n v="720047.20200000005"/>
    <s v="LG PC LUPOY  GP1000ML"/>
    <s v="Blue"/>
    <n v="2.9"/>
    <m/>
    <m/>
    <m/>
    <n v="15336.7392"/>
    <m/>
    <n v="295.7217"/>
    <m/>
  </r>
  <r>
    <x v="3"/>
    <s v="MODI"/>
    <s v="Bottom cover"/>
    <s v="130040670021244"/>
    <s v="Dongguan Wellsun Plastic"/>
    <m/>
    <s v="Plastic"/>
    <x v="2"/>
    <x v="7"/>
    <d v="2025-02-17T00:00:00"/>
    <m/>
    <n v="0.1348"/>
    <n v="0.15040000000000001"/>
    <n v="1.5599999999999999E-2"/>
    <m/>
    <n v="1"/>
    <n v="0.1348"/>
    <n v="254000"/>
    <m/>
    <m/>
    <m/>
    <s v="LG PC LUPOY  GP1000ML"/>
    <s v="Orange"/>
    <n v="2.9"/>
    <m/>
    <m/>
    <m/>
    <n v="38201.599999999999"/>
    <m/>
    <n v="736.6"/>
    <m/>
  </r>
  <r>
    <x v="3"/>
    <s v="MODI"/>
    <s v="Bottom cover"/>
    <s v="130040670021244"/>
    <s v="Dongguan Wellsun Plastic"/>
    <m/>
    <s v="Plastic"/>
    <x v="0"/>
    <x v="8"/>
    <d v="2025-01-08T00:00:00"/>
    <m/>
    <n v="0.1348"/>
    <n v="0.15040000000000001"/>
    <n v="1.5599999999999999E-2"/>
    <m/>
    <n v="1"/>
    <n v="0.1348"/>
    <n v="217000"/>
    <n v="20397732"/>
    <n v="1043805"/>
    <n v="725600.38080000004"/>
    <s v="LG PC LUPOY  GP1000ML"/>
    <s v="blue,mauve,orange,Golden yellow,Forest green,yellow,Translucent green,purple,aqua,Pale yellow"/>
    <n v="2.9"/>
    <m/>
    <m/>
    <m/>
    <n v="32636.800000000003"/>
    <m/>
    <n v="629.29999999999995"/>
    <m/>
  </r>
  <r>
    <x v="3"/>
    <s v="MODI"/>
    <s v="Bottom cover"/>
    <s v="130040670021244"/>
    <s v="Dongguan Wellsun Plastic"/>
    <m/>
    <s v="Plastic"/>
    <x v="0"/>
    <x v="9"/>
    <d v="2024-12-03T00:00:00"/>
    <m/>
    <n v="0.1348"/>
    <n v="0.15040000000000001"/>
    <n v="1.5599999999999999E-2"/>
    <m/>
    <n v="1"/>
    <n v="0.1348"/>
    <n v="755000"/>
    <n v="20180732"/>
    <n v="1043805"/>
    <n v="728985.5808"/>
    <s v="LG PC LUPOY  GP1000ML"/>
    <s v="blue,mauve,orange,Golden yellow,Forest green,yellow,Translucent green,purple,aqua,Pale yellow"/>
    <n v="2.9"/>
    <m/>
    <m/>
    <m/>
    <n v="113552"/>
    <m/>
    <n v="2189.5"/>
    <m/>
  </r>
  <r>
    <x v="3"/>
    <s v="MODI"/>
    <s v="Bottom cover"/>
    <s v="130040670021244"/>
    <s v="Dongguan Wellsun Plastic"/>
    <m/>
    <s v="Plastic"/>
    <x v="0"/>
    <x v="10"/>
    <d v="2024-11-05T00:00:00"/>
    <m/>
    <n v="0.1348"/>
    <n v="0.15040000000000001"/>
    <n v="1.5599999999999999E-2"/>
    <m/>
    <n v="1"/>
    <n v="0.1348"/>
    <n v="1381041"/>
    <n v="19425732"/>
    <n v="1043805"/>
    <n v="740763.5808"/>
    <s v="LG PC LUPOY  GP1000ML"/>
    <s v="blue,mauve,orange,Golden yellow,Forest green,yellow,Translucent green,purple,aqua,Pale yellow"/>
    <n v="2.9"/>
    <m/>
    <m/>
    <m/>
    <n v="207708.56640000001"/>
    <m/>
    <n v="4005.0189"/>
    <m/>
  </r>
  <r>
    <x v="3"/>
    <s v="MODI"/>
    <s v="Bottom cover"/>
    <s v="130040670021244"/>
    <s v="Dongguan Wellsun Plastic"/>
    <m/>
    <s v="Plastic"/>
    <x v="0"/>
    <x v="0"/>
    <d v="2024-11-01T00:00:00"/>
    <m/>
    <n v="0.1348"/>
    <n v="0.15040000000000001"/>
    <n v="1.5599999999999999E-2"/>
    <n v="0"/>
    <n v="1"/>
    <n v="0.1348"/>
    <n v="2848887"/>
    <n v="18044691"/>
    <n v="1043805"/>
    <n v="762307.82040000008"/>
    <s v="LG PC LUPOY  GP1000ML"/>
    <s v="blue,mauve,orange,Golden yellow,Forest green,yellow,Translucent green,purple,aqua,Pale yellow"/>
    <n v="2.9"/>
    <m/>
    <m/>
    <m/>
    <n v="428472.60480000003"/>
    <n v="0"/>
    <n v="8261.7723000000005"/>
    <s v="2次ECN"/>
  </r>
  <r>
    <x v="3"/>
    <s v="MODI"/>
    <s v="Bottom cover"/>
    <s v="130040670021244"/>
    <s v="Dongguan Wellsun Plastic"/>
    <m/>
    <s v="Plastic"/>
    <x v="0"/>
    <x v="1"/>
    <d v="2024-11-01T00:00:00"/>
    <m/>
    <n v="0.1348"/>
    <n v="0.15040000000000001"/>
    <n v="1.5599999999999999E-2"/>
    <n v="0"/>
    <n v="1"/>
    <n v="0.1348"/>
    <n v="3446335"/>
    <n v="15195804"/>
    <n v="1043805"/>
    <n v="806750.45760000008"/>
    <s v="LG PC LUPOY  GP1000ML"/>
    <s v="blue,mauve,orange,Golden yellow,Forest green,yellow,Translucent green,purple,aqua,Pale yellow"/>
    <n v="2.9"/>
    <m/>
    <m/>
    <m/>
    <n v="518328.78400000004"/>
    <m/>
    <n v="9994.3714999999993"/>
    <m/>
  </r>
  <r>
    <x v="3"/>
    <s v="MODI"/>
    <s v="Bottom cover"/>
    <s v="130040670021244"/>
    <s v="Dongguan Wellsun Plastic"/>
    <m/>
    <s v="Plastic"/>
    <x v="0"/>
    <x v="2"/>
    <d v="2024-11-01T00:00:00"/>
    <m/>
    <n v="0.1348"/>
    <n v="0.15040000000000001"/>
    <n v="1.5599999999999999E-2"/>
    <n v="0"/>
    <n v="1"/>
    <n v="0.1348"/>
    <n v="4104721"/>
    <n v="11749469"/>
    <n v="1043805"/>
    <n v="860513.28359999997"/>
    <s v="LG PC LUPOY  GP1000ML"/>
    <s v="blue,mauve,orange,Golden yellow,Forest green,yellow,Translucent green,purple,aqua,Pale yellow"/>
    <n v="2.9"/>
    <m/>
    <m/>
    <m/>
    <n v="617350.03840000008"/>
    <m/>
    <n v="11903.6909"/>
    <m/>
  </r>
  <r>
    <x v="3"/>
    <s v="MODI"/>
    <s v="Bottom cover"/>
    <s v="130040670021244"/>
    <s v="Dongguan Wellsun Plastic"/>
    <m/>
    <s v="Plastic"/>
    <x v="0"/>
    <x v="3"/>
    <d v="2024-11-01T00:00:00"/>
    <m/>
    <n v="0.1348"/>
    <n v="0.15040000000000001"/>
    <n v="1.5599999999999999E-2"/>
    <n v="0"/>
    <n v="1"/>
    <n v="0.1348"/>
    <n v="1898091"/>
    <n v="7644748"/>
    <n v="1043805"/>
    <n v="924546.93119999999"/>
    <s v="LG PC LUPOY  GP1000ML"/>
    <s v="blue,mauve,orange,Golden yellow,Forest green,yellow,Translucent green,purple,aqua,Pale yellow"/>
    <n v="2.9"/>
    <m/>
    <m/>
    <m/>
    <n v="285472.88640000002"/>
    <m/>
    <n v="5504.4638999999997"/>
    <m/>
  </r>
  <r>
    <x v="3"/>
    <s v="MODI"/>
    <s v="Bottom cover"/>
    <s v="130040670021244"/>
    <s v="Dongguan Wellsun Plastic"/>
    <m/>
    <s v="Plastic"/>
    <x v="0"/>
    <x v="4"/>
    <d v="2024-11-01T00:00:00"/>
    <m/>
    <n v="0.1348"/>
    <n v="0.15040000000000001"/>
    <n v="1.5599999999999999E-2"/>
    <n v="0"/>
    <n v="1"/>
    <n v="0.1348"/>
    <n v="2473385"/>
    <n v="5746657"/>
    <n v="1043805"/>
    <n v="954157.15079999994"/>
    <s v="LG PC LUPOY  GP1000ML"/>
    <s v="blue,mauve,orange,Golden yellow,Forest green,yellow,Translucent green,purple,aqua,Pale yellow"/>
    <n v="2.9"/>
    <m/>
    <m/>
    <m/>
    <n v="371997.10399999999"/>
    <m/>
    <n v="7172.8164999999999"/>
    <m/>
  </r>
  <r>
    <x v="3"/>
    <s v="MODI"/>
    <s v="Bottom cover"/>
    <s v="130040670021244"/>
    <s v="Dongguan Wellsun Plastic"/>
    <m/>
    <s v="Plastic"/>
    <x v="0"/>
    <x v="5"/>
    <d v="2024-11-01T00:00:00"/>
    <m/>
    <n v="0.1348"/>
    <n v="0.15040000000000001"/>
    <n v="1.5599999999999999E-2"/>
    <n v="0"/>
    <n v="1"/>
    <n v="0.1348"/>
    <n v="2226362"/>
    <n v="3273272"/>
    <n v="1043805"/>
    <n v="992741.95680000004"/>
    <s v="LG PC LUPOY  GP1000ML"/>
    <s v="blue,mauve,orange,Golden yellow,Forest green,yellow,Translucent green,purple,aqua,Pale yellow"/>
    <n v="2.9"/>
    <m/>
    <m/>
    <m/>
    <n v="334844.84480000002"/>
    <m/>
    <n v="6456.4497999999994"/>
    <m/>
  </r>
  <r>
    <x v="3"/>
    <s v="MODI"/>
    <s v="Bottom cover"/>
    <s v="130040670021244"/>
    <s v="Dongguan Wellsun Plastic"/>
    <m/>
    <s v="Plastic"/>
    <x v="0"/>
    <x v="6"/>
    <d v="2024-11-01T00:00:00"/>
    <m/>
    <n v="0.1348"/>
    <n v="0.15040000000000001"/>
    <n v="1.5599999999999999E-2"/>
    <n v="0"/>
    <n v="1"/>
    <n v="0.1348"/>
    <n v="901990"/>
    <n v="1046910"/>
    <n v="1043805"/>
    <n v="1027473.204"/>
    <s v="LG PC LUPOY  GP1000ML"/>
    <s v="blue,mauve,orange,Golden yellow,Forest green,yellow,Translucent green,purple,aqua,Pale yellow"/>
    <n v="2.9"/>
    <m/>
    <m/>
    <m/>
    <n v="135659.296"/>
    <m/>
    <n v="2615.7710000000002"/>
    <m/>
  </r>
  <r>
    <x v="3"/>
    <s v="MODI"/>
    <s v="Bottom cover"/>
    <s v="130040670021244"/>
    <s v="Dongguan Wellsun Plastic"/>
    <m/>
    <s v="Plastic"/>
    <x v="0"/>
    <x v="11"/>
    <d v="2024-11-01T00:00:00"/>
    <m/>
    <n v="0.1348"/>
    <n v="0.15040000000000001"/>
    <n v="1.5599999999999999E-2"/>
    <n v="0"/>
    <n v="1"/>
    <n v="0.1348"/>
    <n v="49920"/>
    <n v="144920"/>
    <n v="1043805"/>
    <n v="1041544.248"/>
    <s v="LG PC LUPOY  GP1000ML"/>
    <s v="blue,mauve,orange,Golden yellow,Forest green,yellow,Translucent green,purple,aqua,Pale yellow"/>
    <n v="2.9"/>
    <m/>
    <m/>
    <m/>
    <n v="7507.9679999999998"/>
    <m/>
    <n v="144.768"/>
    <m/>
  </r>
  <r>
    <x v="3"/>
    <s v="MODI"/>
    <s v="Bottom cover"/>
    <s v="130040670021244"/>
    <s v="Dongguan Wellsun Plastic"/>
    <m/>
    <s v="Plastic"/>
    <x v="0"/>
    <x v="7"/>
    <d v="2024-11-01T00:00:00"/>
    <m/>
    <n v="0.1348"/>
    <n v="0.15040000000000001"/>
    <n v="1.5599999999999999E-2"/>
    <n v="0"/>
    <n v="1"/>
    <n v="0.1348"/>
    <n v="33000"/>
    <n v="95000"/>
    <n v="1043805"/>
    <n v="1042323"/>
    <s v="LG PC LUPOY  GP1000ML"/>
    <s v="blue,mauve,orange,Golden yellow,Forest green,yellow,Translucent green,purple,aqua,Pale yellow"/>
    <n v="2.9"/>
    <m/>
    <m/>
    <m/>
    <n v="4963.2"/>
    <m/>
    <n v="95.7"/>
    <m/>
  </r>
  <r>
    <x v="3"/>
    <s v="MODI"/>
    <s v="Bottom cover"/>
    <s v="130040670021244"/>
    <s v="Dongguan Wellsun Plastic"/>
    <m/>
    <s v="Plastic"/>
    <x v="1"/>
    <x v="8"/>
    <d v="2024-11-01T00:00:00"/>
    <m/>
    <n v="0.1348"/>
    <n v="0.15040000000000001"/>
    <n v="1.5599999999999999E-2"/>
    <n v="0"/>
    <n v="1"/>
    <n v="0.1348"/>
    <n v="36240"/>
    <n v="62000"/>
    <n v="1043805"/>
    <n v="1042837.8"/>
    <s v="LG PC LUPOY  GP1000ML"/>
    <s v="blue,mauve,orange,Golden yellow,Forest green,yellow,Translucent green,purple,aqua,Pale yellow"/>
    <n v="2.9"/>
    <m/>
    <m/>
    <m/>
    <n v="5450.4960000000001"/>
    <m/>
    <n v="105.096"/>
    <m/>
  </r>
  <r>
    <x v="3"/>
    <s v="MODI"/>
    <s v="Bottom cover"/>
    <s v="130040670021244"/>
    <s v="Dongguan Wellsun Plastic"/>
    <m/>
    <s v="Plastic"/>
    <x v="1"/>
    <x v="9"/>
    <d v="2024-11-01T00:00:00"/>
    <m/>
    <n v="0.1348"/>
    <n v="0.15040000000000001"/>
    <n v="1.5599999999999999E-2"/>
    <n v="0"/>
    <n v="1"/>
    <n v="0.1348"/>
    <n v="25760"/>
    <n v="25760"/>
    <n v="1043805"/>
    <n v="1043403.144"/>
    <s v="LG PC LUPOY  GP1000ML"/>
    <s v="blue,mauve,orange,Golden yellow,Forest green,yellow,Translucent green,purple,aqua,Pale yellow"/>
    <n v="2.9"/>
    <m/>
    <m/>
    <m/>
    <n v="3874.3040000000001"/>
    <m/>
    <n v="74.703999999999994"/>
    <m/>
  </r>
  <r>
    <x v="3"/>
    <s v="MODI"/>
    <s v="Cartridge tank"/>
    <s v="130040670034715"/>
    <s v="Dongguan Wellsun Plastic"/>
    <m/>
    <s v="Plastic"/>
    <x v="2"/>
    <x v="11"/>
    <d v="2025-03-06T00:00:00"/>
    <m/>
    <n v="0.2782"/>
    <n v="0.29570000000000002"/>
    <n v="1.7500000000000002E-2"/>
    <m/>
    <n v="1"/>
    <n v="0.2782"/>
    <n v="217000"/>
    <n v="13850504"/>
    <n v="884159.29203539796"/>
    <n v="641775.47203539789"/>
    <s v="PCTG 1501"/>
    <s v="Blue"/>
    <n v="4.5999999999999996"/>
    <m/>
    <m/>
    <m/>
    <n v="64166.9"/>
    <m/>
    <n v="998.19999999999993"/>
    <m/>
  </r>
  <r>
    <x v="3"/>
    <s v="MODI"/>
    <s v="Cartridge tank"/>
    <s v="130040670034715"/>
    <s v="Dongguan Wellsun Plastic"/>
    <m/>
    <s v="Plastic"/>
    <x v="2"/>
    <x v="11"/>
    <d v="2025-03-06T00:00:00"/>
    <m/>
    <n v="0.2782"/>
    <n v="0.29570000000000002"/>
    <n v="1.7500000000000002E-2"/>
    <m/>
    <n v="1"/>
    <n v="0.2782"/>
    <n v="65313"/>
    <m/>
    <m/>
    <m/>
    <m/>
    <s v="Aqua"/>
    <n v="4.5999999999999996"/>
    <m/>
    <m/>
    <m/>
    <n v="19313.054100000001"/>
    <m/>
    <n v="300.43979999999999"/>
    <m/>
  </r>
  <r>
    <x v="3"/>
    <s v="MODI"/>
    <s v="Cartridge tank"/>
    <s v="130040670034715"/>
    <s v="Dongguan Wellsun Plastic"/>
    <m/>
    <s v="Plastic"/>
    <x v="2"/>
    <x v="11"/>
    <d v="2025-03-06T00:00:00"/>
    <m/>
    <n v="0.2782"/>
    <n v="0.29570000000000002"/>
    <n v="1.7500000000000002E-2"/>
    <m/>
    <n v="1"/>
    <n v="0.2782"/>
    <n v="325000"/>
    <m/>
    <m/>
    <m/>
    <m/>
    <s v="Orange"/>
    <n v="4.5999999999999996"/>
    <m/>
    <m/>
    <m/>
    <n v="96102.5"/>
    <m/>
    <n v="1495"/>
    <m/>
  </r>
  <r>
    <x v="3"/>
    <s v="MODI"/>
    <s v="Cartridge tank"/>
    <s v="130040670034715"/>
    <s v="Dongguan Wellsun Plastic"/>
    <m/>
    <s v="Plastic"/>
    <x v="2"/>
    <x v="7"/>
    <d v="2025-02-17T00:00:00"/>
    <m/>
    <n v="0.2843"/>
    <n v="0.30180000000000001"/>
    <n v="1.7500000000000002E-2"/>
    <m/>
    <n v="1"/>
    <n v="0.2843"/>
    <n v="66000"/>
    <n v="13243191"/>
    <n v="884159.29203539796"/>
    <n v="652403.44953539793"/>
    <s v="PCTG 1501"/>
    <s v="Aqua"/>
    <n v="4.5999999999999996"/>
    <m/>
    <m/>
    <m/>
    <n v="19918.8"/>
    <m/>
    <n v="303.60000000000002"/>
    <m/>
  </r>
  <r>
    <x v="3"/>
    <s v="MODI"/>
    <s v="Cartridge tank"/>
    <s v="130040670034715"/>
    <s v="Dongguan Wellsun Plastic"/>
    <m/>
    <s v="Plastic"/>
    <x v="2"/>
    <x v="7"/>
    <d v="2025-02-17T00:00:00"/>
    <m/>
    <n v="0.2843"/>
    <n v="0.30180000000000001"/>
    <n v="1.7500000000000002E-2"/>
    <m/>
    <n v="1"/>
    <n v="0.2843"/>
    <n v="240000"/>
    <m/>
    <m/>
    <m/>
    <s v="PCTG 1501"/>
    <s v="Orange"/>
    <n v="4.5999999999999996"/>
    <m/>
    <m/>
    <m/>
    <n v="72432"/>
    <m/>
    <n v="1104"/>
    <m/>
  </r>
  <r>
    <x v="3"/>
    <s v="MODI"/>
    <s v="Cartridge tank"/>
    <s v="130040670034715"/>
    <s v="Dongguan Wellsun Plastic"/>
    <m/>
    <s v="Plastic"/>
    <x v="0"/>
    <x v="8"/>
    <d v="2025-01-08T00:00:00"/>
    <m/>
    <n v="0.2843"/>
    <n v="0.30180000000000001"/>
    <n v="1.7500000000000002E-2"/>
    <m/>
    <n v="1"/>
    <n v="0.2843"/>
    <n v="217750"/>
    <n v="12937191"/>
    <n v="884159.29203539796"/>
    <n v="657758.44953539793"/>
    <s v="PCTG 1501"/>
    <s v="blue,mauve,orange,Golden yellow,Forest green,yellow,Translucent green,purple,aqua,Pale yellow"/>
    <n v="4.5999999999999996"/>
    <m/>
    <m/>
    <m/>
    <n v="65716.95"/>
    <m/>
    <n v="1001.6499999999999"/>
    <m/>
  </r>
  <r>
    <x v="3"/>
    <s v="MODI"/>
    <s v="Cartridge tank"/>
    <s v="130040670034715"/>
    <s v="Dongguan Wellsun Plastic"/>
    <m/>
    <s v="Plastic"/>
    <x v="0"/>
    <x v="9"/>
    <d v="2024-12-03T00:00:00"/>
    <m/>
    <n v="0.2843"/>
    <n v="0.30180000000000001"/>
    <n v="1.7500000000000002E-2"/>
    <m/>
    <n v="1"/>
    <n v="0.2843"/>
    <n v="989085"/>
    <n v="12719441"/>
    <n v="884159.29203539796"/>
    <n v="661569.07453539793"/>
    <s v="PCTG 1501"/>
    <s v="blue,mauve,orange,Golden yellow,Forest green,yellow,Translucent green,purple,aqua,Pale yellow"/>
    <n v="4.5999999999999996"/>
    <m/>
    <m/>
    <m/>
    <n v="298505.853"/>
    <m/>
    <n v="4549.7910000000002"/>
    <m/>
  </r>
  <r>
    <x v="3"/>
    <s v="MODI"/>
    <s v="Cartridge tank"/>
    <s v="130040670034715"/>
    <s v="Dongguan Wellsun Plastic"/>
    <m/>
    <s v="Plastic"/>
    <x v="0"/>
    <x v="10"/>
    <d v="2024-11-05T00:00:00"/>
    <m/>
    <n v="0.2843"/>
    <n v="0.30180000000000001"/>
    <n v="1.7500000000000002E-2"/>
    <m/>
    <n v="1"/>
    <n v="0.2843"/>
    <n v="1855921"/>
    <n v="11730356"/>
    <n v="884159.29203539796"/>
    <n v="678878.06203539798"/>
    <s v="PCTG 1501"/>
    <s v="blue,mauve,orange,Golden yellow,Forest green,yellow,Translucent green,purple,aqua,Pale yellow"/>
    <n v="4.5999999999999996"/>
    <m/>
    <m/>
    <m/>
    <n v="560116.95779999997"/>
    <m/>
    <n v="8537.2366000000002"/>
    <m/>
  </r>
  <r>
    <x v="3"/>
    <s v="MODI"/>
    <s v="Cartridge tank"/>
    <s v="130040670034715"/>
    <s v="Dongguan Wellsun Plastic"/>
    <m/>
    <s v="Plastic"/>
    <x v="0"/>
    <x v="0"/>
    <d v="2024-11-01T00:00:00"/>
    <m/>
    <n v="0.2843"/>
    <n v="0.30180000000000001"/>
    <n v="1.7500000000000002E-2"/>
    <n v="0"/>
    <n v="1"/>
    <n v="0.2843"/>
    <n v="1544919"/>
    <n v="9874435"/>
    <n v="884159.29203539831"/>
    <n v="711356.67953539826"/>
    <s v="PCTG 1501"/>
    <s v="blue,mauve,orange,Golden yellow,Forest green,yellow,Translucent green,purple,aqua,Pale yellow"/>
    <n v="4.5999999999999996"/>
    <m/>
    <m/>
    <m/>
    <n v="466256.55420000001"/>
    <m/>
    <n v="7106.6273999999994"/>
    <s v="3次ECN"/>
  </r>
  <r>
    <x v="3"/>
    <s v="MODI"/>
    <s v="Cartridge tank"/>
    <s v="130040670034715"/>
    <s v="Dongguan Wellsun Plastic"/>
    <m/>
    <s v="Plastic"/>
    <x v="0"/>
    <x v="1"/>
    <d v="2024-11-01T00:00:00"/>
    <m/>
    <n v="0.2843"/>
    <n v="0.30180000000000001"/>
    <n v="1.7500000000000002E-2"/>
    <n v="0"/>
    <n v="1"/>
    <n v="0.2843"/>
    <n v="1594790"/>
    <n v="8329516"/>
    <n v="884159.29203539796"/>
    <n v="738392.76203539793"/>
    <s v="PCTG 1501"/>
    <s v="blue,mauve,orange,Golden yellow,Forest green,yellow,Translucent green,purple,aqua,Pale yellow"/>
    <n v="4.5999999999999996"/>
    <m/>
    <m/>
    <m/>
    <n v="481307.62200000003"/>
    <m/>
    <n v="7336.0339999999987"/>
    <m/>
  </r>
  <r>
    <x v="3"/>
    <s v="MODI"/>
    <s v="Cartridge tank"/>
    <s v="130040670034715"/>
    <s v="Dongguan Wellsun Plastic"/>
    <m/>
    <s v="Plastic"/>
    <x v="0"/>
    <x v="2"/>
    <d v="2024-11-01T00:00:00"/>
    <m/>
    <n v="0.2843"/>
    <n v="0.30180000000000001"/>
    <n v="1.7500000000000002E-2"/>
    <n v="0"/>
    <n v="1"/>
    <n v="0.2843"/>
    <n v="1419249"/>
    <n v="6734726"/>
    <n v="884159.29203539796"/>
    <n v="766301.587035398"/>
    <s v="PCTG 1501"/>
    <s v="blue,mauve,orange,Golden yellow,Forest green,yellow,Translucent green,purple,aqua,Pale yellow"/>
    <n v="4.5999999999999996"/>
    <m/>
    <m/>
    <m/>
    <n v="428329.34820000001"/>
    <m/>
    <n v="6528.5453999999991"/>
    <m/>
  </r>
  <r>
    <x v="3"/>
    <s v="MODI"/>
    <s v="Cartridge tank"/>
    <s v="130040670034715"/>
    <s v="Dongguan Wellsun Plastic"/>
    <m/>
    <s v="Plastic"/>
    <x v="0"/>
    <x v="3"/>
    <d v="2024-11-01T00:00:00"/>
    <m/>
    <n v="0.2843"/>
    <n v="0.30180000000000001"/>
    <n v="1.7500000000000002E-2"/>
    <n v="0"/>
    <n v="1"/>
    <n v="0.2843"/>
    <n v="1639083"/>
    <n v="5315477"/>
    <n v="884159.29203539796"/>
    <n v="791138.44453539792"/>
    <s v="PCTG 1501"/>
    <s v="blue,mauve,orange,Golden yellow,Forest green,yellow,Translucent green,purple,aqua,Pale yellow"/>
    <n v="4.5999999999999996"/>
    <m/>
    <m/>
    <m/>
    <n v="494675.24940000003"/>
    <m/>
    <n v="7539.7817999999997"/>
    <m/>
  </r>
  <r>
    <x v="3"/>
    <s v="MODI"/>
    <s v="Cartridge tank"/>
    <s v="130040670034715"/>
    <s v="Dongguan Wellsun Plastic"/>
    <m/>
    <s v="Plastic"/>
    <x v="0"/>
    <x v="4"/>
    <d v="2024-11-01T00:00:00"/>
    <m/>
    <n v="0.2843"/>
    <n v="0.30180000000000001"/>
    <n v="1.7500000000000002E-2"/>
    <n v="0"/>
    <n v="1"/>
    <n v="0.2843"/>
    <n v="990304"/>
    <n v="3676394"/>
    <n v="884159.29203539796"/>
    <n v="819822.39703539794"/>
    <s v="PCTG 1501"/>
    <s v="blue,mauve,orange,Golden yellow,Forest green,yellow,Translucent green,purple,aqua,Pale yellow"/>
    <n v="4.5999999999999996"/>
    <m/>
    <m/>
    <m/>
    <n v="298873.74720000004"/>
    <m/>
    <n v="4555.3983999999991"/>
    <m/>
  </r>
  <r>
    <x v="3"/>
    <s v="MODI"/>
    <s v="Cartridge tank"/>
    <s v="130040670034715"/>
    <s v="Dongguan Wellsun Plastic"/>
    <m/>
    <s v="Plastic"/>
    <x v="0"/>
    <x v="5"/>
    <d v="2024-11-01T00:00:00"/>
    <m/>
    <n v="0.2843"/>
    <n v="0.30180000000000001"/>
    <n v="1.7500000000000002E-2"/>
    <n v="0"/>
    <n v="1"/>
    <n v="0.2843"/>
    <n v="1641713"/>
    <n v="2686090"/>
    <n v="884159.29203539796"/>
    <n v="837152.717035398"/>
    <s v="PCTG 1501"/>
    <s v="blue,mauve,orange,Golden yellow,Forest green,yellow,Translucent green,purple,aqua,Pale yellow"/>
    <n v="4.5999999999999996"/>
    <m/>
    <m/>
    <m/>
    <n v="495468.98340000003"/>
    <m/>
    <n v="7551.8797999999997"/>
    <m/>
  </r>
  <r>
    <x v="3"/>
    <s v="MODI"/>
    <s v="Cartridge tank"/>
    <s v="130040670034715"/>
    <s v="Dongguan Wellsun Plastic"/>
    <m/>
    <s v="Plastic"/>
    <x v="0"/>
    <x v="6"/>
    <d v="2024-11-01T00:00:00"/>
    <m/>
    <n v="0.2843"/>
    <n v="0.30180000000000001"/>
    <n v="1.7500000000000002E-2"/>
    <n v="0"/>
    <n v="1"/>
    <n v="0.2843"/>
    <n v="793577"/>
    <n v="1044377"/>
    <n v="884159.29203539796"/>
    <n v="865882.69453539792"/>
    <s v="PCTG 1501"/>
    <s v="blue,mauve,orange,Golden yellow,Forest green,yellow,Translucent green,purple,aqua,Pale yellow"/>
    <n v="4.5999999999999996"/>
    <m/>
    <m/>
    <m/>
    <n v="239501.5386"/>
    <m/>
    <n v="3650.4541999999997"/>
    <m/>
  </r>
  <r>
    <x v="3"/>
    <s v="MODI"/>
    <s v="Cartridge tank"/>
    <s v="130040670034715"/>
    <s v="Dongguan Wellsun Plastic"/>
    <m/>
    <s v="Plastic"/>
    <x v="0"/>
    <x v="11"/>
    <d v="2024-11-01T00:00:00"/>
    <m/>
    <n v="0.2843"/>
    <n v="0.30180000000000001"/>
    <n v="1.7500000000000002E-2"/>
    <n v="0"/>
    <n v="1"/>
    <n v="0.2843"/>
    <n v="148800"/>
    <n v="250800"/>
    <n v="884159.29203539796"/>
    <n v="879770.29203539796"/>
    <s v="PCTG 1501"/>
    <s v="blue,mauve,orange,Golden yellow,Forest green,yellow,Translucent green,purple,aqua,Pale yellow"/>
    <n v="4.5999999999999996"/>
    <m/>
    <m/>
    <m/>
    <n v="44907.840000000004"/>
    <m/>
    <n v="684.48"/>
    <m/>
  </r>
  <r>
    <x v="3"/>
    <s v="MODI"/>
    <s v="Cartridge tank"/>
    <s v="130040670034715"/>
    <s v="Dongguan Wellsun Plastic"/>
    <m/>
    <s v="Plastic"/>
    <x v="0"/>
    <x v="7"/>
    <d v="2024-11-01T00:00:00"/>
    <m/>
    <n v="0.2843"/>
    <n v="0.30180000000000001"/>
    <n v="1.7500000000000002E-2"/>
    <n v="0"/>
    <n v="1"/>
    <n v="0.2843"/>
    <n v="23400"/>
    <n v="102000"/>
    <n v="884159.29203539796"/>
    <n v="882374.29203539796"/>
    <s v="PCTG 1501"/>
    <s v="blue,mauve,orange,Golden yellow,Forest green,yellow,Translucent green,purple,aqua,Pale yellow"/>
    <n v="4.5999999999999996"/>
    <m/>
    <m/>
    <m/>
    <n v="7062.12"/>
    <m/>
    <n v="107.63999999999999"/>
    <m/>
  </r>
  <r>
    <x v="3"/>
    <s v="MODI"/>
    <s v="Cartridge tank"/>
    <s v="130040670034715"/>
    <s v="Dongguan Wellsun Plastic"/>
    <m/>
    <s v="Plastic"/>
    <x v="1"/>
    <x v="8"/>
    <d v="2024-11-01T00:00:00"/>
    <m/>
    <n v="0.2843"/>
    <n v="0.30180000000000001"/>
    <n v="1.7500000000000002E-2"/>
    <n v="0"/>
    <n v="1"/>
    <n v="0.2843"/>
    <n v="51000"/>
    <n v="78600"/>
    <n v="884159.29203539796"/>
    <n v="882783.79203539796"/>
    <s v="PCTG 1501"/>
    <s v="blue,mauve,orange,Golden yellow,Forest green,yellow,Translucent green,purple,aqua,Pale yellow"/>
    <n v="4.5999999999999996"/>
    <m/>
    <m/>
    <m/>
    <n v="15391.800000000001"/>
    <m/>
    <n v="234.59999999999997"/>
    <m/>
  </r>
  <r>
    <x v="3"/>
    <s v="MODI"/>
    <s v="Cartridge tank"/>
    <s v="130040670034715"/>
    <s v="Dongguan Wellsun Plastic"/>
    <m/>
    <s v="Plastic"/>
    <x v="1"/>
    <x v="9"/>
    <d v="2024-11-01T00:00:00"/>
    <m/>
    <n v="0.2843"/>
    <n v="0.30180000000000001"/>
    <n v="1.7500000000000002E-2"/>
    <n v="0"/>
    <n v="1"/>
    <n v="0.2843"/>
    <n v="27600"/>
    <n v="27600"/>
    <n v="884159.29203539796"/>
    <n v="883676.29203539796"/>
    <s v="PCTG 1501"/>
    <s v="blue,mauve,orange,Golden yellow,Forest green,yellow,Translucent green,purple,aqua,Pale yellow"/>
    <n v="4.5999999999999996"/>
    <m/>
    <m/>
    <m/>
    <n v="8329.68"/>
    <m/>
    <n v="126.95999999999998"/>
    <m/>
  </r>
  <r>
    <x v="3"/>
    <s v="MODI"/>
    <s v="Heater top cover"/>
    <s v="130040670021246"/>
    <s v="Dongguan Wellsun Plastic"/>
    <m/>
    <s v="Plastic"/>
    <x v="2"/>
    <x v="11"/>
    <d v="2025-03-06T00:00:00"/>
    <m/>
    <n v="5.4300000000000001E-2"/>
    <n v="7.3050000000000004E-2"/>
    <n v="1.8749999999999999E-2"/>
    <m/>
    <n v="1"/>
    <n v="5.4300000000000001E-2"/>
    <n v="460000"/>
    <n v="14681815"/>
    <n v="600000"/>
    <n v="324715.96875"/>
    <s v="PCTG 1501"/>
    <s v="Transparent"/>
    <n v="0.5"/>
    <m/>
    <m/>
    <m/>
    <n v="33603"/>
    <m/>
    <n v="230"/>
    <m/>
  </r>
  <r>
    <x v="3"/>
    <s v="MODI"/>
    <s v="Heater top cover"/>
    <s v="130040670021246"/>
    <s v="Dongguan Wellsun Plastic"/>
    <m/>
    <s v="Plastic"/>
    <x v="2"/>
    <x v="7"/>
    <d v="2025-02-17T00:00:00"/>
    <m/>
    <n v="6.9099999999999995E-2"/>
    <n v="8.7849999999999998E-2"/>
    <n v="1.8749999999999999E-2"/>
    <m/>
    <n v="1"/>
    <n v="6.9099999999999995E-2"/>
    <n v="324000"/>
    <n v="14221815"/>
    <n v="600000"/>
    <n v="333340.96875"/>
    <s v="PCTG 1501"/>
    <s v="Transparent"/>
    <n v="0.5"/>
    <m/>
    <m/>
    <m/>
    <n v="28463.399999999998"/>
    <m/>
    <n v="162"/>
    <m/>
  </r>
  <r>
    <x v="3"/>
    <s v="MODI"/>
    <s v="Heater top cover"/>
    <s v="130040670021246"/>
    <s v="Dongguan Wellsun Plastic"/>
    <m/>
    <s v="Plastic"/>
    <x v="0"/>
    <x v="8"/>
    <d v="2025-01-08T00:00:00"/>
    <m/>
    <n v="6.9099999999999995E-2"/>
    <n v="8.7849999999999998E-2"/>
    <n v="1.8749999999999999E-2"/>
    <m/>
    <n v="1"/>
    <n v="6.9099999999999995E-2"/>
    <n v="304750"/>
    <n v="13897815"/>
    <n v="600000"/>
    <n v="339415.96875"/>
    <s v="PCTG 1501"/>
    <s v="Transparent"/>
    <n v="0.5"/>
    <m/>
    <m/>
    <m/>
    <n v="26772.287499999999"/>
    <m/>
    <n v="152.375"/>
    <m/>
  </r>
  <r>
    <x v="3"/>
    <s v="MODI"/>
    <s v="Heater top cover"/>
    <s v="130040670021246"/>
    <s v="Dongguan Wellsun Plastic"/>
    <m/>
    <s v="Plastic"/>
    <x v="0"/>
    <x v="9"/>
    <d v="2024-12-03T00:00:00"/>
    <m/>
    <n v="6.9099999999999995E-2"/>
    <n v="8.7849999999999998E-2"/>
    <n v="1.8749999999999999E-2"/>
    <m/>
    <n v="1"/>
    <n v="6.9099999999999995E-2"/>
    <n v="854509"/>
    <n v="13593065"/>
    <n v="600000"/>
    <n v="345130.03125"/>
    <s v="PCTG 1501"/>
    <s v="Transparent"/>
    <n v="0.5"/>
    <m/>
    <m/>
    <m/>
    <n v="75068.615649999992"/>
    <m/>
    <n v="427.25450000000001"/>
    <m/>
  </r>
  <r>
    <x v="3"/>
    <s v="MODI"/>
    <s v="Heater top cover"/>
    <s v="130040670021246"/>
    <s v="Dongguan Wellsun Plastic"/>
    <m/>
    <s v="Plastic"/>
    <x v="0"/>
    <x v="10"/>
    <d v="2024-11-05T00:00:00"/>
    <m/>
    <n v="6.9099999999999995E-2"/>
    <n v="8.7849999999999998E-2"/>
    <n v="1.8749999999999999E-2"/>
    <m/>
    <n v="1"/>
    <n v="6.9099999999999995E-2"/>
    <n v="1497137"/>
    <n v="12738556"/>
    <n v="600000"/>
    <n v="361152.07500000001"/>
    <s v="PCTG 1501"/>
    <s v="Transparent"/>
    <n v="0.5"/>
    <m/>
    <m/>
    <m/>
    <n v="131523.48545000001"/>
    <m/>
    <n v="748.56849999999997"/>
    <m/>
  </r>
  <r>
    <x v="3"/>
    <s v="MODI"/>
    <s v="Heater top cover"/>
    <s v="130040670021246"/>
    <s v="Dongguan Wellsun Plastic"/>
    <m/>
    <s v="Plastic"/>
    <x v="0"/>
    <x v="0"/>
    <d v="2024-11-01T00:00:00"/>
    <m/>
    <n v="6.9099999999999995E-2"/>
    <n v="8.7849999999999998E-2"/>
    <n v="1.8749999999999999E-2"/>
    <n v="0"/>
    <n v="1"/>
    <n v="6.9099999999999995E-2"/>
    <n v="1647000"/>
    <n v="11241419"/>
    <n v="600000"/>
    <n v="389223.39375000005"/>
    <s v="PCTG 1501"/>
    <s v="Transparent"/>
    <n v="0.5"/>
    <m/>
    <m/>
    <m/>
    <n v="144688.94999999998"/>
    <m/>
    <n v="823.5"/>
    <m/>
  </r>
  <r>
    <x v="3"/>
    <s v="MODI"/>
    <s v="Heater top cover"/>
    <s v="130040670021246"/>
    <s v="Dongguan Wellsun Plastic"/>
    <m/>
    <s v="Plastic"/>
    <x v="0"/>
    <x v="1"/>
    <d v="2024-11-01T00:00:00"/>
    <m/>
    <n v="6.9099999999999995E-2"/>
    <n v="8.7849999999999998E-2"/>
    <n v="1.8749999999999999E-2"/>
    <n v="0"/>
    <n v="1"/>
    <n v="6.9099999999999995E-2"/>
    <n v="1444500"/>
    <n v="9594419"/>
    <n v="600000"/>
    <n v="420104.64375000005"/>
    <s v="PCTG 1501"/>
    <s v="Transparent"/>
    <n v="0.5"/>
    <m/>
    <m/>
    <m/>
    <n v="126899.325"/>
    <m/>
    <n v="722.25"/>
    <m/>
  </r>
  <r>
    <x v="3"/>
    <s v="MODI"/>
    <s v="Heater top cover"/>
    <s v="130040670021246"/>
    <s v="Dongguan Wellsun Plastic"/>
    <m/>
    <s v="Plastic"/>
    <x v="0"/>
    <x v="2"/>
    <d v="2024-11-01T00:00:00"/>
    <m/>
    <n v="6.9099999999999995E-2"/>
    <n v="8.7849999999999998E-2"/>
    <n v="1.8749999999999999E-2"/>
    <n v="0"/>
    <n v="1"/>
    <n v="6.9099999999999995E-2"/>
    <n v="1753349"/>
    <n v="8149919"/>
    <n v="600000"/>
    <n v="447189.01875000005"/>
    <s v="PCTG 1501"/>
    <s v="Transparent"/>
    <n v="0.5"/>
    <m/>
    <m/>
    <m/>
    <n v="154031.70965"/>
    <m/>
    <n v="876.67449999999997"/>
    <m/>
  </r>
  <r>
    <x v="3"/>
    <s v="MODI"/>
    <s v="Heater top cover"/>
    <s v="130040670021246"/>
    <s v="Dongguan Wellsun Plastic"/>
    <m/>
    <s v="Plastic"/>
    <x v="0"/>
    <x v="3"/>
    <d v="2024-11-01T00:00:00"/>
    <m/>
    <n v="6.9099999999999995E-2"/>
    <n v="8.7849999999999998E-2"/>
    <n v="1.8749999999999999E-2"/>
    <n v="0"/>
    <n v="1"/>
    <n v="6.9099999999999995E-2"/>
    <n v="1647000"/>
    <n v="6396570"/>
    <n v="600000"/>
    <n v="480064.3125"/>
    <s v="PCTG 1501"/>
    <s v="Transparent"/>
    <n v="0.5"/>
    <m/>
    <m/>
    <m/>
    <n v="144688.94999999998"/>
    <m/>
    <n v="823.5"/>
    <m/>
  </r>
  <r>
    <x v="3"/>
    <s v="MODI"/>
    <s v="Heater top cover"/>
    <s v="130040670021246"/>
    <s v="Dongguan Wellsun Plastic"/>
    <m/>
    <s v="Plastic"/>
    <x v="0"/>
    <x v="4"/>
    <d v="2024-11-01T00:00:00"/>
    <m/>
    <n v="6.9099999999999995E-2"/>
    <n v="8.7849999999999998E-2"/>
    <n v="1.8749999999999999E-2"/>
    <n v="0"/>
    <n v="1"/>
    <n v="6.9099999999999995E-2"/>
    <n v="1432210"/>
    <n v="4749570"/>
    <n v="600000"/>
    <n v="510945.5625"/>
    <s v="PCTG 1501"/>
    <s v="Transparent"/>
    <n v="0.5"/>
    <m/>
    <m/>
    <m/>
    <n v="125819.6485"/>
    <m/>
    <n v="716.10500000000002"/>
    <m/>
  </r>
  <r>
    <x v="3"/>
    <s v="MODI"/>
    <s v="Heater top cover"/>
    <s v="130040670021246"/>
    <s v="Dongguan Wellsun Plastic"/>
    <m/>
    <s v="Plastic"/>
    <x v="0"/>
    <x v="5"/>
    <d v="2024-11-01T00:00:00"/>
    <m/>
    <n v="6.9099999999999995E-2"/>
    <n v="8.7849999999999998E-2"/>
    <n v="1.8749999999999999E-2"/>
    <n v="0"/>
    <n v="1"/>
    <n v="6.9099999999999995E-2"/>
    <n v="1914360"/>
    <n v="3317360"/>
    <n v="600000"/>
    <n v="537799.5"/>
    <s v="PCTG 1501"/>
    <s v="Transparent"/>
    <n v="0.5"/>
    <m/>
    <m/>
    <m/>
    <n v="168176.52599999998"/>
    <m/>
    <n v="957.18"/>
    <m/>
  </r>
  <r>
    <x v="3"/>
    <s v="MODI"/>
    <s v="Heater top cover"/>
    <s v="130040670021246"/>
    <s v="Dongguan Wellsun Plastic"/>
    <m/>
    <s v="Plastic"/>
    <x v="0"/>
    <x v="6"/>
    <d v="2024-11-01T00:00:00"/>
    <m/>
    <n v="6.9099999999999995E-2"/>
    <n v="8.7849999999999998E-2"/>
    <n v="1.8749999999999999E-2"/>
    <n v="0"/>
    <n v="1"/>
    <n v="6.9099999999999995E-2"/>
    <n v="830000"/>
    <n v="1403000"/>
    <n v="600000"/>
    <n v="573693.75"/>
    <s v="PCTG 1501"/>
    <s v="Transparent"/>
    <n v="0.5"/>
    <m/>
    <m/>
    <m/>
    <n v="72915.5"/>
    <m/>
    <n v="415"/>
    <m/>
  </r>
  <r>
    <x v="3"/>
    <s v="MODI"/>
    <s v="Heater top cover"/>
    <s v="130040670021246"/>
    <s v="Dongguan Wellsun Plastic"/>
    <m/>
    <s v="Plastic"/>
    <x v="0"/>
    <x v="11"/>
    <d v="2024-11-01T00:00:00"/>
    <m/>
    <n v="6.9099999999999995E-2"/>
    <n v="8.7849999999999998E-2"/>
    <n v="1.8749999999999999E-2"/>
    <n v="0"/>
    <n v="1"/>
    <n v="6.9099999999999995E-2"/>
    <n v="420000"/>
    <n v="573000"/>
    <n v="600000"/>
    <n v="589256.25"/>
    <s v="PCTG 1501"/>
    <s v="Transparent"/>
    <n v="0.5"/>
    <m/>
    <m/>
    <m/>
    <n v="36897"/>
    <m/>
    <n v="210"/>
    <m/>
  </r>
  <r>
    <x v="3"/>
    <s v="MODI"/>
    <s v="Heater top cover"/>
    <s v="130040670021246"/>
    <s v="Dongguan Wellsun Plastic"/>
    <m/>
    <s v="Plastic"/>
    <x v="0"/>
    <x v="7"/>
    <d v="2024-11-01T00:00:00"/>
    <m/>
    <n v="6.9099999999999995E-2"/>
    <n v="8.7849999999999998E-2"/>
    <n v="1.8749999999999999E-2"/>
    <n v="0"/>
    <n v="1"/>
    <n v="6.9099999999999995E-2"/>
    <n v="80000"/>
    <n v="153000"/>
    <n v="600000"/>
    <n v="597131.25"/>
    <s v="PCTG 1501"/>
    <s v="Transparent"/>
    <n v="0.5"/>
    <m/>
    <m/>
    <m/>
    <n v="7028"/>
    <m/>
    <n v="40"/>
    <m/>
  </r>
  <r>
    <x v="3"/>
    <s v="MODI"/>
    <s v="Heater top cover"/>
    <s v="130040670021246"/>
    <s v="Dongguan Wellsun Plastic"/>
    <m/>
    <s v="Plastic"/>
    <x v="1"/>
    <x v="8"/>
    <d v="2024-11-01T00:00:00"/>
    <m/>
    <n v="6.9099999999999995E-2"/>
    <n v="8.7849999999999998E-2"/>
    <n v="1.8749999999999999E-2"/>
    <n v="0"/>
    <n v="1"/>
    <n v="6.9099999999999995E-2"/>
    <n v="30200"/>
    <n v="73000"/>
    <n v="600000"/>
    <n v="598631.25"/>
    <s v="PCTG 1501"/>
    <s v="Transparent"/>
    <n v="0.5"/>
    <m/>
    <m/>
    <m/>
    <n v="2653.0699999999997"/>
    <m/>
    <n v="15.1"/>
    <m/>
  </r>
  <r>
    <x v="3"/>
    <s v="MODI"/>
    <s v="Heater top cover"/>
    <s v="130040670021246"/>
    <s v="Dongguan Wellsun Plastic"/>
    <m/>
    <s v="Plastic"/>
    <x v="1"/>
    <x v="9"/>
    <d v="2024-11-01T00:00:00"/>
    <m/>
    <n v="6.9099999999999995E-2"/>
    <n v="8.7849999999999998E-2"/>
    <n v="1.8749999999999999E-2"/>
    <n v="0"/>
    <n v="1"/>
    <n v="6.9099999999999995E-2"/>
    <n v="42800"/>
    <n v="42800"/>
    <n v="600000"/>
    <n v="599197.5"/>
    <s v="PCTG 1501"/>
    <s v="Transparent"/>
    <n v="0.5"/>
    <m/>
    <m/>
    <m/>
    <n v="3759.98"/>
    <m/>
    <n v="21.4"/>
    <m/>
  </r>
  <r>
    <x v="3"/>
    <s v="MODI"/>
    <s v="Heating holder"/>
    <s v="130040670034735"/>
    <s v="Dongguan Wellsun Plastic"/>
    <m/>
    <s v="Plastic"/>
    <x v="2"/>
    <x v="11"/>
    <d v="2025-03-06T00:00:00"/>
    <m/>
    <n v="7.5700000000000003E-2"/>
    <n v="9.4450000000000006E-2"/>
    <n v="1.8749999999999999E-2"/>
    <m/>
    <n v="1"/>
    <n v="7.5700000000000003E-2"/>
    <n v="500000"/>
    <n v="14444095"/>
    <n v="755752.21238938102"/>
    <n v="484925.43113938102"/>
    <s v="PCTG 1501"/>
    <s v="Transparent"/>
    <n v="1"/>
    <m/>
    <m/>
    <m/>
    <n v="47225"/>
    <m/>
    <n v="500"/>
    <m/>
  </r>
  <r>
    <x v="3"/>
    <s v="MODI"/>
    <s v="Heating holder"/>
    <s v="130040670034735"/>
    <s v="Dongguan Wellsun Plastic"/>
    <m/>
    <s v="Plastic"/>
    <x v="2"/>
    <x v="7"/>
    <d v="2025-02-17T00:00:00"/>
    <m/>
    <n v="9.0499999999999997E-2"/>
    <n v="0.10925"/>
    <n v="1.8749999999999999E-2"/>
    <m/>
    <n v="1"/>
    <n v="9.0499999999999997E-2"/>
    <n v="324000"/>
    <n v="13944095"/>
    <n v="755752.21238938102"/>
    <n v="494300.43113938102"/>
    <s v="PCTG 1501"/>
    <s v="Transparent"/>
    <n v="1"/>
    <m/>
    <m/>
    <m/>
    <n v="35397"/>
    <m/>
    <n v="324"/>
    <m/>
  </r>
  <r>
    <x v="3"/>
    <s v="MODI"/>
    <s v="Heating holder"/>
    <s v="130040670034735"/>
    <s v="Dongguan Wellsun Plastic"/>
    <m/>
    <s v="Plastic"/>
    <x v="0"/>
    <x v="8"/>
    <d v="2025-01-08T00:00:00"/>
    <m/>
    <n v="9.0499999999999997E-2"/>
    <n v="0.10925"/>
    <n v="1.8749999999999999E-2"/>
    <m/>
    <n v="1"/>
    <n v="9.0499999999999997E-2"/>
    <n v="306750"/>
    <n v="13620095"/>
    <n v="755752.21238938102"/>
    <n v="500375.43113938102"/>
    <s v="PCTG 1501"/>
    <s v="Transparent"/>
    <n v="1"/>
    <m/>
    <m/>
    <m/>
    <n v="33512.4375"/>
    <m/>
    <n v="306.75"/>
    <m/>
  </r>
  <r>
    <x v="3"/>
    <s v="MODI"/>
    <s v="Heating holder"/>
    <s v="130040670034735"/>
    <s v="Dongguan Wellsun Plastic"/>
    <m/>
    <s v="Plastic"/>
    <x v="0"/>
    <x v="9"/>
    <d v="2024-12-03T00:00:00"/>
    <m/>
    <n v="9.0499999999999997E-2"/>
    <n v="0.10925"/>
    <n v="1.8749999999999999E-2"/>
    <m/>
    <n v="1"/>
    <n v="9.0499999999999997E-2"/>
    <n v="713008"/>
    <n v="13313345"/>
    <n v="755752.21238938102"/>
    <n v="506126.99363938102"/>
    <s v="PCTG 1501"/>
    <s v="Transparent"/>
    <n v="1"/>
    <m/>
    <m/>
    <m/>
    <n v="77896.123999999996"/>
    <m/>
    <n v="713.00800000000004"/>
    <m/>
  </r>
  <r>
    <x v="3"/>
    <s v="MODI"/>
    <s v="Heating holder"/>
    <s v="130040670034735"/>
    <s v="Dongguan Wellsun Plastic"/>
    <m/>
    <s v="Plastic"/>
    <x v="0"/>
    <x v="10"/>
    <d v="2024-11-05T00:00:00"/>
    <m/>
    <n v="9.0499999999999997E-2"/>
    <n v="0.10925"/>
    <n v="1.8749999999999999E-2"/>
    <m/>
    <n v="1"/>
    <n v="9.0499999999999997E-2"/>
    <n v="1561614"/>
    <n v="12600337"/>
    <n v="755752.21238938102"/>
    <n v="519495.89363938104"/>
    <s v="PCTG 1501"/>
    <s v="Transparent"/>
    <n v="1"/>
    <m/>
    <m/>
    <m/>
    <n v="170606.32949999999"/>
    <m/>
    <n v="1561.614"/>
    <m/>
  </r>
  <r>
    <x v="3"/>
    <s v="MODI"/>
    <s v="Heating holder"/>
    <s v="130040670034735"/>
    <s v="Dongguan Wellsun Plastic"/>
    <m/>
    <s v="Plastic"/>
    <x v="0"/>
    <x v="0"/>
    <d v="2024-11-01T00:00:00"/>
    <m/>
    <n v="9.0499999999999997E-2"/>
    <n v="0.10925"/>
    <n v="1.8749999999999999E-2"/>
    <n v="0"/>
    <n v="1"/>
    <n v="9.0499999999999997E-2"/>
    <n v="1665000"/>
    <n v="11038723"/>
    <n v="755752.21238938055"/>
    <n v="548776.15613938053"/>
    <s v="PCTG 1501"/>
    <s v="Transparent"/>
    <n v="1"/>
    <m/>
    <m/>
    <m/>
    <n v="181901.25"/>
    <m/>
    <n v="1665"/>
    <s v="2次ECN"/>
  </r>
  <r>
    <x v="3"/>
    <s v="MODI"/>
    <s v="Heating holder"/>
    <s v="130040670034735"/>
    <s v="Dongguan Wellsun Plastic"/>
    <m/>
    <s v="Plastic"/>
    <x v="0"/>
    <x v="1"/>
    <d v="2024-11-01T00:00:00"/>
    <m/>
    <n v="9.0499999999999997E-2"/>
    <n v="0.10925"/>
    <n v="1.8749999999999999E-2"/>
    <n v="0"/>
    <n v="1"/>
    <n v="9.0499999999999997E-2"/>
    <n v="1449000"/>
    <n v="9373723"/>
    <n v="755752.21238938102"/>
    <n v="579994.906139381"/>
    <s v="PCTG 1501"/>
    <s v="Transparent"/>
    <n v="1"/>
    <m/>
    <m/>
    <m/>
    <n v="158303.25"/>
    <m/>
    <n v="1449"/>
    <m/>
  </r>
  <r>
    <x v="3"/>
    <s v="MODI"/>
    <s v="Heating holder"/>
    <s v="130040670034735"/>
    <s v="Dongguan Wellsun Plastic"/>
    <m/>
    <s v="Plastic"/>
    <x v="0"/>
    <x v="2"/>
    <d v="2024-11-01T00:00:00"/>
    <m/>
    <n v="9.0499999999999997E-2"/>
    <n v="0.10925"/>
    <n v="1.8749999999999999E-2"/>
    <n v="0"/>
    <n v="1"/>
    <n v="9.0499999999999997E-2"/>
    <n v="1670776"/>
    <n v="7924723"/>
    <n v="755752.21238938102"/>
    <n v="607163.656139381"/>
    <s v="PCTG 1501"/>
    <s v="Transparent"/>
    <n v="1"/>
    <m/>
    <m/>
    <m/>
    <n v="182532.27799999999"/>
    <m/>
    <n v="1670.7760000000001"/>
    <m/>
  </r>
  <r>
    <x v="3"/>
    <s v="MODI"/>
    <s v="Heating holder"/>
    <s v="130040670034735"/>
    <s v="Dongguan Wellsun Plastic"/>
    <m/>
    <s v="Plastic"/>
    <x v="0"/>
    <x v="3"/>
    <d v="2024-11-01T00:00:00"/>
    <m/>
    <n v="9.0499999999999997E-2"/>
    <n v="0.10925"/>
    <n v="1.8749999999999999E-2"/>
    <n v="0"/>
    <n v="1"/>
    <n v="9.0499999999999997E-2"/>
    <n v="1246709"/>
    <n v="6253947"/>
    <n v="755752.21238938102"/>
    <n v="638490.70613938104"/>
    <s v="PCTG 1501"/>
    <s v="Transparent"/>
    <n v="1"/>
    <m/>
    <m/>
    <m/>
    <n v="136202.95825"/>
    <m/>
    <n v="1246.7090000000001"/>
    <m/>
  </r>
  <r>
    <x v="3"/>
    <s v="MODI"/>
    <s v="Heating holder"/>
    <s v="130040670034735"/>
    <s v="Dongguan Wellsun Plastic"/>
    <m/>
    <s v="Plastic"/>
    <x v="0"/>
    <x v="4"/>
    <d v="2024-11-01T00:00:00"/>
    <m/>
    <n v="9.0499999999999997E-2"/>
    <n v="0.10925"/>
    <n v="1.8749999999999999E-2"/>
    <n v="0"/>
    <n v="1"/>
    <n v="9.0499999999999997E-2"/>
    <n v="1677000"/>
    <n v="5007238"/>
    <n v="755752.21238938102"/>
    <n v="661866.499889381"/>
    <s v="PCTG 1501"/>
    <s v="Transparent"/>
    <n v="1"/>
    <m/>
    <m/>
    <m/>
    <n v="183212.25"/>
    <m/>
    <n v="1677"/>
    <m/>
  </r>
  <r>
    <x v="3"/>
    <s v="MODI"/>
    <s v="Heating holder"/>
    <s v="130040670034735"/>
    <s v="Dongguan Wellsun Plastic"/>
    <m/>
    <s v="Plastic"/>
    <x v="0"/>
    <x v="5"/>
    <d v="2024-11-01T00:00:00"/>
    <m/>
    <n v="9.0499999999999997E-2"/>
    <n v="0.10925"/>
    <n v="1.8749999999999999E-2"/>
    <n v="0"/>
    <n v="1"/>
    <n v="9.0499999999999997E-2"/>
    <n v="1643238"/>
    <n v="3330238"/>
    <n v="755752.21238938102"/>
    <n v="693310.249889381"/>
    <s v="PCTG 1501"/>
    <s v="Transparent"/>
    <n v="1"/>
    <m/>
    <m/>
    <m/>
    <n v="179523.75150000001"/>
    <m/>
    <n v="1643.2380000000001"/>
    <m/>
  </r>
  <r>
    <x v="3"/>
    <s v="MODI"/>
    <s v="Heating holder"/>
    <s v="130040670034735"/>
    <s v="Dongguan Wellsun Plastic"/>
    <m/>
    <s v="Plastic"/>
    <x v="0"/>
    <x v="6"/>
    <d v="2024-11-01T00:00:00"/>
    <m/>
    <n v="9.0499999999999997E-2"/>
    <n v="0.10925"/>
    <n v="1.8749999999999999E-2"/>
    <n v="0"/>
    <n v="1"/>
    <n v="9.0499999999999997E-2"/>
    <n v="1561750"/>
    <n v="1687000"/>
    <n v="755752.21238938102"/>
    <n v="724120.96238938102"/>
    <s v="PCTG 1501"/>
    <s v="Transparent"/>
    <n v="1"/>
    <m/>
    <m/>
    <m/>
    <n v="170621.1875"/>
    <m/>
    <n v="1561.75"/>
    <m/>
  </r>
  <r>
    <x v="3"/>
    <s v="MODI"/>
    <s v="Heating holder"/>
    <s v="130040670034735"/>
    <s v="Dongguan Wellsun Plastic"/>
    <m/>
    <s v="Plastic"/>
    <x v="0"/>
    <x v="11"/>
    <d v="2024-11-01T00:00:00"/>
    <m/>
    <n v="9.0499999999999997E-2"/>
    <n v="0.10925"/>
    <n v="1.8749999999999999E-2"/>
    <n v="0"/>
    <n v="1"/>
    <n v="9.0499999999999997E-2"/>
    <n v="12250"/>
    <n v="125250"/>
    <n v="755752.21238938102"/>
    <n v="753403.77488938102"/>
    <s v="PCTG 1501"/>
    <s v="Transparent"/>
    <n v="1"/>
    <m/>
    <m/>
    <m/>
    <n v="1338.3125"/>
    <m/>
    <n v="12.25"/>
    <m/>
  </r>
  <r>
    <x v="3"/>
    <s v="MODI"/>
    <s v="Heating holder"/>
    <s v="130040670034735"/>
    <s v="Dongguan Wellsun Plastic"/>
    <m/>
    <s v="Plastic"/>
    <x v="0"/>
    <x v="7"/>
    <d v="2024-11-01T00:00:00"/>
    <m/>
    <n v="9.0499999999999997E-2"/>
    <n v="0.10925"/>
    <n v="1.8749999999999999E-2"/>
    <n v="0"/>
    <n v="1"/>
    <n v="9.0499999999999997E-2"/>
    <n v="40000"/>
    <n v="113000"/>
    <n v="755752.21238938102"/>
    <n v="753633.46238938102"/>
    <s v="PCTG 1501"/>
    <s v="Transparent"/>
    <n v="1"/>
    <m/>
    <m/>
    <m/>
    <n v="4370"/>
    <m/>
    <n v="40"/>
    <m/>
  </r>
  <r>
    <x v="3"/>
    <s v="MODI"/>
    <s v="Heating holder"/>
    <s v="130040670034735"/>
    <s v="Dongguan Wellsun Plastic"/>
    <m/>
    <s v="Plastic"/>
    <x v="1"/>
    <x v="8"/>
    <d v="2024-11-01T00:00:00"/>
    <m/>
    <n v="9.0499999999999997E-2"/>
    <n v="0.10925"/>
    <n v="1.8749999999999999E-2"/>
    <n v="0"/>
    <n v="1"/>
    <n v="9.0499999999999997E-2"/>
    <n v="35000"/>
    <n v="73000"/>
    <n v="755752.21238938102"/>
    <n v="754383.46238938102"/>
    <s v="PCTG 1501"/>
    <s v="Transparent"/>
    <n v="1"/>
    <m/>
    <m/>
    <m/>
    <n v="3823.75"/>
    <m/>
    <n v="35"/>
    <m/>
  </r>
  <r>
    <x v="3"/>
    <s v="MODI"/>
    <s v="Heating holder"/>
    <s v="130040670034735"/>
    <s v="Dongguan Wellsun Plastic"/>
    <m/>
    <s v="Plastic"/>
    <x v="1"/>
    <x v="9"/>
    <d v="2024-11-01T00:00:00"/>
    <m/>
    <n v="9.0499999999999997E-2"/>
    <n v="0.10925"/>
    <n v="1.8749999999999999E-2"/>
    <n v="0"/>
    <n v="1"/>
    <n v="9.0499999999999997E-2"/>
    <n v="38000"/>
    <n v="38000"/>
    <n v="755752.21238938102"/>
    <n v="755039.71238938102"/>
    <s v="PCTG 1501"/>
    <s v="Transparent"/>
    <n v="1"/>
    <m/>
    <m/>
    <m/>
    <n v="4151.5"/>
    <m/>
    <n v="38"/>
    <m/>
  </r>
  <r>
    <x v="4"/>
    <s v="MODI"/>
    <s v="Battery tube"/>
    <s v="130040660001514"/>
    <s v="Dongguan Wellsun Plastic"/>
    <m/>
    <s v="Plastic"/>
    <x v="2"/>
    <x v="11"/>
    <d v="2025-03-06T00:00:00"/>
    <m/>
    <n v="2.85337"/>
    <n v="2.8874949999999999"/>
    <n v="3.4125000000000003E-2"/>
    <m/>
    <n v="1"/>
    <n v="2.85337"/>
    <n v="0"/>
    <n v="6045194"/>
    <n v="1092000"/>
    <n v="885707.75474999996"/>
    <s v="PC2456"/>
    <s v="White"/>
    <n v="8.15"/>
    <m/>
    <s v="Painting"/>
    <n v="2.2845"/>
    <n v="0"/>
    <n v="0"/>
    <n v="0"/>
    <m/>
  </r>
  <r>
    <x v="4"/>
    <s v="MODI"/>
    <s v="Battery tube"/>
    <s v="130040660001514"/>
    <s v="Dongguan Wellsun Plastic"/>
    <m/>
    <s v="Plastic"/>
    <x v="2"/>
    <x v="7"/>
    <d v="2025-02-17T00:00:00"/>
    <m/>
    <n v="2.85337"/>
    <n v="2.8874949999999999"/>
    <n v="3.4125000000000003E-2"/>
    <m/>
    <n v="1"/>
    <n v="2.85337"/>
    <n v="0"/>
    <n v="6045194"/>
    <n v="1092000"/>
    <n v="885707.75474999996"/>
    <s v="PC2456"/>
    <s v="White"/>
    <n v="8.15"/>
    <m/>
    <s v="Painting"/>
    <n v="2.2845"/>
    <n v="0"/>
    <n v="0"/>
    <n v="0"/>
    <m/>
  </r>
  <r>
    <x v="4"/>
    <s v="MODI"/>
    <s v="Battery tube"/>
    <s v="130040660001514"/>
    <s v="Dongguan Wellsun Plastic"/>
    <m/>
    <s v="Plastic"/>
    <x v="0"/>
    <x v="8"/>
    <d v="2025-01-08T00:00:00"/>
    <m/>
    <n v="2.85337"/>
    <n v="2.8874949999999999"/>
    <n v="3.4125000000000003E-2"/>
    <m/>
    <n v="1"/>
    <n v="2.85337"/>
    <n v="121620"/>
    <n v="6045194"/>
    <n v="1092000"/>
    <n v="885707.75474999996"/>
    <s v="PC2456"/>
    <s v="White"/>
    <n v="8.15"/>
    <m/>
    <s v="Painting"/>
    <n v="2.2845"/>
    <n v="351177.14189999999"/>
    <n v="277840.89"/>
    <n v="991.20299999999997"/>
    <m/>
  </r>
  <r>
    <x v="4"/>
    <s v="MODI"/>
    <s v="Battery tube"/>
    <s v="130040660001514"/>
    <s v="Dongguan Wellsun Plastic"/>
    <m/>
    <s v="Plastic"/>
    <x v="0"/>
    <x v="9"/>
    <d v="2024-12-03T00:00:00"/>
    <m/>
    <n v="2.85337"/>
    <n v="2.8874949999999999"/>
    <n v="3.4125000000000003E-2"/>
    <m/>
    <n v="1"/>
    <n v="2.85337"/>
    <n v="0"/>
    <n v="5923574"/>
    <n v="1092000"/>
    <n v="889858.03725000005"/>
    <s v="PC2456"/>
    <s v="White"/>
    <n v="8.15"/>
    <m/>
    <s v="Painting"/>
    <n v="2.2845"/>
    <n v="0"/>
    <n v="0"/>
    <n v="0"/>
    <m/>
  </r>
  <r>
    <x v="4"/>
    <s v="MODI"/>
    <s v="Battery tube"/>
    <s v="130040660001514"/>
    <s v="Dongguan Wellsun Plastic"/>
    <m/>
    <s v="Plastic"/>
    <x v="0"/>
    <x v="10"/>
    <d v="2024-11-05T00:00:00"/>
    <m/>
    <n v="2.85337"/>
    <n v="2.8874949999999999"/>
    <n v="3.4125000000000003E-2"/>
    <m/>
    <n v="1"/>
    <n v="2.85337"/>
    <n v="14319"/>
    <n v="5923574"/>
    <n v="1092000"/>
    <n v="889858.03725000005"/>
    <s v="PC2456"/>
    <s v="White"/>
    <n v="8.15"/>
    <m/>
    <s v="Painting"/>
    <n v="2.2845"/>
    <n v="41346.040905000002"/>
    <n v="32711.755499999999"/>
    <n v="116.69985000000001"/>
    <m/>
  </r>
  <r>
    <x v="4"/>
    <s v="MODI"/>
    <s v="Battery tube"/>
    <s v="130040660001514"/>
    <s v="Dongguan Wellsun Plastic"/>
    <m/>
    <s v="Plastic"/>
    <x v="0"/>
    <x v="0"/>
    <d v="2024-11-01T00:00:00"/>
    <m/>
    <n v="2.85337"/>
    <n v="2.8874949999999999"/>
    <n v="3.4125000000000003E-2"/>
    <n v="0"/>
    <n v="1"/>
    <n v="2.85337"/>
    <n v="63741"/>
    <n v="5909255"/>
    <n v="1092000"/>
    <n v="890346.67312499997"/>
    <s v="PC2456"/>
    <s v="White"/>
    <n v="8.15"/>
    <m/>
    <s v="Painting"/>
    <n v="2.2845"/>
    <n v="184051.818795"/>
    <n v="145616.31450000001"/>
    <n v="519.48915"/>
    <m/>
  </r>
  <r>
    <x v="4"/>
    <s v="MODI"/>
    <s v="Battery tube"/>
    <s v="130040660001514"/>
    <s v="Dongguan Wellsun Plastic"/>
    <m/>
    <s v="Plastic"/>
    <x v="0"/>
    <x v="1"/>
    <d v="2024-11-01T00:00:00"/>
    <m/>
    <n v="2.85337"/>
    <n v="2.8874949999999999"/>
    <n v="3.4125000000000003E-2"/>
    <n v="0"/>
    <n v="1"/>
    <n v="2.85337"/>
    <n v="208758"/>
    <n v="5845514"/>
    <n v="1092000"/>
    <n v="892521.83474999992"/>
    <s v="PC2456"/>
    <s v="White"/>
    <n v="8.15"/>
    <m/>
    <s v="Painting"/>
    <n v="2.2845"/>
    <n v="602787.68120999995"/>
    <n v="476907.65100000001"/>
    <n v="1701.3777000000002"/>
    <m/>
  </r>
  <r>
    <x v="4"/>
    <s v="MODI"/>
    <s v="Battery tube"/>
    <s v="130040660001514"/>
    <s v="Dongguan Wellsun Plastic"/>
    <m/>
    <s v="Plastic"/>
    <x v="0"/>
    <x v="2"/>
    <d v="2024-11-01T00:00:00"/>
    <m/>
    <n v="2.85337"/>
    <n v="2.8874949999999999"/>
    <n v="3.4125000000000003E-2"/>
    <n v="0"/>
    <n v="1"/>
    <n v="2.85337"/>
    <n v="300"/>
    <n v="5636756"/>
    <n v="1092000"/>
    <n v="899645.70149999997"/>
    <s v="PC2456"/>
    <s v="White"/>
    <n v="8.15"/>
    <m/>
    <s v="Painting"/>
    <n v="2.2845"/>
    <n v="866.24849999999992"/>
    <n v="685.35"/>
    <n v="2.4449999999999998"/>
    <m/>
  </r>
  <r>
    <x v="4"/>
    <s v="MODI"/>
    <s v="Battery tube"/>
    <s v="130040660001514"/>
    <s v="Dongguan Wellsun Plastic"/>
    <m/>
    <s v="Plastic"/>
    <x v="0"/>
    <x v="3"/>
    <d v="2024-11-01T00:00:00"/>
    <m/>
    <n v="2.85337"/>
    <n v="2.8874949999999999"/>
    <n v="3.4125000000000003E-2"/>
    <n v="0"/>
    <n v="1"/>
    <n v="2.85337"/>
    <n v="56104"/>
    <n v="5636456"/>
    <n v="1092000"/>
    <n v="899655.93900000001"/>
    <s v="PC2456"/>
    <s v="White"/>
    <n v="8.15"/>
    <m/>
    <s v="Painting"/>
    <n v="2.2845"/>
    <n v="162000.01947999999"/>
    <n v="128169.588"/>
    <n v="457.24760000000003"/>
    <m/>
  </r>
  <r>
    <x v="4"/>
    <s v="MODI"/>
    <s v="Battery tube"/>
    <s v="130040660001514"/>
    <s v="Dongguan Wellsun Plastic"/>
    <m/>
    <s v="Plastic"/>
    <x v="0"/>
    <x v="4"/>
    <d v="2024-11-01T00:00:00"/>
    <m/>
    <n v="2.85337"/>
    <n v="2.8874949999999999"/>
    <n v="3.4125000000000003E-2"/>
    <n v="0"/>
    <n v="1"/>
    <n v="2.85337"/>
    <n v="439319"/>
    <n v="5580352"/>
    <n v="1092000"/>
    <n v="901570.48800000001"/>
    <s v="PC2456"/>
    <s v="White"/>
    <n v="8.15"/>
    <m/>
    <s v="Painting"/>
    <n v="2.2845"/>
    <n v="1268531.4159049999"/>
    <n v="1003624.2555"/>
    <n v="3580.44985"/>
    <m/>
  </r>
  <r>
    <x v="4"/>
    <s v="MODI"/>
    <s v="Battery tube"/>
    <s v="130040660001514"/>
    <s v="Dongguan Wellsun Plastic"/>
    <m/>
    <s v="Plastic"/>
    <x v="0"/>
    <x v="5"/>
    <d v="2024-11-01T00:00:00"/>
    <m/>
    <n v="2.85337"/>
    <n v="2.8874949999999999"/>
    <n v="3.4125000000000003E-2"/>
    <n v="0"/>
    <n v="1"/>
    <n v="2.85337"/>
    <n v="697987"/>
    <n v="5141033"/>
    <n v="1092000"/>
    <n v="916562.24887500005"/>
    <s v="PC2456"/>
    <s v="White"/>
    <n v="8.15"/>
    <m/>
    <s v="Painting"/>
    <n v="2.2845"/>
    <n v="2015433.9725649999"/>
    <n v="1594551.3015000001"/>
    <n v="5688.5940499999997"/>
    <m/>
  </r>
  <r>
    <x v="4"/>
    <s v="MODI"/>
    <s v="Battery tube"/>
    <s v="130040660001514"/>
    <s v="Dongguan Wellsun Plastic"/>
    <m/>
    <s v="Plastic"/>
    <x v="0"/>
    <x v="6"/>
    <d v="2024-11-01T00:00:00"/>
    <m/>
    <n v="2.85337"/>
    <n v="2.8874949999999999"/>
    <n v="3.4125000000000003E-2"/>
    <n v="0"/>
    <n v="1"/>
    <n v="2.85337"/>
    <n v="570468"/>
    <n v="4443046"/>
    <n v="1092000"/>
    <n v="940381.05524999998"/>
    <s v="PC2456"/>
    <s v="White"/>
    <n v="8.15"/>
    <m/>
    <s v="Painting"/>
    <n v="2.2845"/>
    <n v="1647223.4976599999"/>
    <n v="1303234.1459999999"/>
    <n v="4649.3141999999998"/>
    <m/>
  </r>
  <r>
    <x v="4"/>
    <s v="MODI"/>
    <s v="Battery tube"/>
    <s v="130040660001514"/>
    <s v="Dongguan Wellsun Plastic"/>
    <m/>
    <s v="Plastic"/>
    <x v="0"/>
    <x v="11"/>
    <d v="2024-11-01T00:00:00"/>
    <m/>
    <n v="2.85337"/>
    <n v="2.8874949999999999"/>
    <n v="3.4125000000000003E-2"/>
    <n v="0"/>
    <n v="1"/>
    <n v="2.85337"/>
    <n v="96631"/>
    <n v="3872578"/>
    <n v="1092000"/>
    <n v="959848.27575000003"/>
    <s v="PC2456"/>
    <s v="White"/>
    <n v="8.15"/>
    <m/>
    <s v="Painting"/>
    <n v="2.2845"/>
    <n v="279021.52934499999"/>
    <n v="220753.51949999999"/>
    <n v="787.54264999999998"/>
    <m/>
  </r>
  <r>
    <x v="4"/>
    <s v="MODI"/>
    <s v="Battery tube"/>
    <s v="130040660001514"/>
    <s v="Dongguan Wellsun Plastic"/>
    <m/>
    <s v="Plastic"/>
    <x v="0"/>
    <x v="7"/>
    <d v="2024-11-01T00:00:00"/>
    <m/>
    <n v="2.85337"/>
    <n v="2.8874949999999999"/>
    <n v="3.4125000000000003E-2"/>
    <n v="0"/>
    <n v="1"/>
    <n v="2.85337"/>
    <n v="301890"/>
    <n v="3775947"/>
    <n v="1092000"/>
    <n v="963145.80862499995"/>
    <s v="PC2456"/>
    <s v="White"/>
    <n v="8.15"/>
    <m/>
    <s v="Painting"/>
    <n v="2.2845"/>
    <n v="871705.86554999999"/>
    <n v="689667.70499999996"/>
    <n v="2460.4034999999999"/>
    <m/>
  </r>
  <r>
    <x v="4"/>
    <s v="MODI"/>
    <s v="Battery tube"/>
    <s v="130040660001514"/>
    <s v="Dongguan Wellsun Plastic"/>
    <m/>
    <s v="Plastic"/>
    <x v="1"/>
    <x v="8"/>
    <d v="2024-11-01T00:00:00"/>
    <m/>
    <n v="2.85337"/>
    <n v="2.8874949999999999"/>
    <n v="3.4125000000000003E-2"/>
    <n v="0"/>
    <n v="1"/>
    <n v="2.85337"/>
    <n v="61476"/>
    <n v="3474057"/>
    <n v="1092000"/>
    <n v="973447.80487500003"/>
    <s v="PC2456"/>
    <s v="White"/>
    <n v="8.15"/>
    <m/>
    <s v="Painting"/>
    <n v="2.2845"/>
    <n v="177511.64262"/>
    <n v="140441.92199999999"/>
    <n v="501.02940000000001"/>
    <m/>
  </r>
  <r>
    <x v="4"/>
    <s v="MODI"/>
    <s v="Battery tube"/>
    <s v="130040660001514"/>
    <s v="Dongguan Wellsun Plastic"/>
    <m/>
    <s v="Plastic"/>
    <x v="1"/>
    <x v="9"/>
    <d v="2024-11-01T00:00:00"/>
    <m/>
    <n v="2.85337"/>
    <n v="2.8874949999999999"/>
    <n v="3.4125000000000003E-2"/>
    <n v="0"/>
    <n v="1"/>
    <n v="2.85337"/>
    <n v="244569"/>
    <n v="3412581"/>
    <n v="1092000"/>
    <n v="975545.67337500001"/>
    <s v="PC2456"/>
    <s v="White"/>
    <n v="8.15"/>
    <m/>
    <s v="Painting"/>
    <n v="2.2845"/>
    <n v="706191.76465499995"/>
    <n v="558717.88049999997"/>
    <n v="1993.2373500000001"/>
    <m/>
  </r>
  <r>
    <x v="4"/>
    <s v="MODI"/>
    <s v="Battery tube"/>
    <s v="130040660001514"/>
    <s v="Dongguan Wellsun Plastic"/>
    <m/>
    <s v="Plastic"/>
    <x v="1"/>
    <x v="10"/>
    <d v="2024-11-01T00:00:00"/>
    <m/>
    <n v="2.85337"/>
    <n v="2.8874949999999999"/>
    <n v="3.4125000000000003E-2"/>
    <n v="0"/>
    <n v="1"/>
    <n v="2.85337"/>
    <n v="204551"/>
    <n v="3168012"/>
    <n v="1092000"/>
    <n v="983891.59049999993"/>
    <s v="PC2456"/>
    <s v="White"/>
    <n v="8.15"/>
    <m/>
    <s v="Painting"/>
    <n v="2.2845"/>
    <n v="590639.98974500003"/>
    <n v="467296.75949999999"/>
    <n v="1667.0906500000001"/>
    <m/>
  </r>
  <r>
    <x v="4"/>
    <s v="MODI"/>
    <s v="Battery tube"/>
    <s v="130040660001514"/>
    <s v="Dongguan Wellsun Plastic"/>
    <m/>
    <s v="Plastic"/>
    <x v="1"/>
    <x v="0"/>
    <d v="2024-11-01T00:00:00"/>
    <m/>
    <n v="2.85337"/>
    <n v="2.8874949999999999"/>
    <n v="3.4125000000000003E-2"/>
    <n v="0"/>
    <n v="1"/>
    <n v="2.85337"/>
    <n v="493817"/>
    <n v="2963461"/>
    <n v="1092000"/>
    <n v="990871.89337499999"/>
    <s v="PC2456"/>
    <s v="White"/>
    <n v="8.15"/>
    <m/>
    <s v="Painting"/>
    <n v="2.2845"/>
    <n v="1425894.1184149999"/>
    <n v="1128124.9365000001"/>
    <n v="4024.6085500000004"/>
    <m/>
  </r>
  <r>
    <x v="4"/>
    <s v="MODI"/>
    <s v="Battery tube"/>
    <s v="130040660001514"/>
    <s v="Dongguan Wellsun Plastic"/>
    <m/>
    <s v="Plastic"/>
    <x v="1"/>
    <x v="1"/>
    <d v="2024-11-01T00:00:00"/>
    <m/>
    <n v="2.85337"/>
    <n v="2.8874949999999999"/>
    <n v="3.4125000000000003E-2"/>
    <n v="0"/>
    <n v="1"/>
    <n v="2.85337"/>
    <n v="488690"/>
    <n v="2469644"/>
    <n v="1092000"/>
    <n v="1007723.3985"/>
    <s v="PC2456"/>
    <s v="White"/>
    <n v="8.15"/>
    <m/>
    <s v="Painting"/>
    <n v="2.2845"/>
    <n v="1411089.9315499999"/>
    <n v="1116412.3049999999"/>
    <n v="3982.8235"/>
    <m/>
  </r>
  <r>
    <x v="4"/>
    <s v="MODI"/>
    <s v="Battery tube"/>
    <s v="130040660001514"/>
    <s v="Dongguan Wellsun Plastic"/>
    <m/>
    <s v="Plastic"/>
    <x v="1"/>
    <x v="2"/>
    <d v="2024-11-01T00:00:00"/>
    <m/>
    <n v="2.85337"/>
    <n v="2.8874949999999999"/>
    <n v="3.4125000000000003E-2"/>
    <n v="0"/>
    <n v="1"/>
    <n v="2.85337"/>
    <n v="418243"/>
    <n v="1980954"/>
    <n v="1092000"/>
    <n v="1024399.94475"/>
    <s v="PC2456"/>
    <s v="White"/>
    <n v="8.15"/>
    <m/>
    <s v="Painting"/>
    <n v="2.2845"/>
    <n v="1207674.5712850001"/>
    <n v="955476.1335"/>
    <n v="3408.6804500000003"/>
    <m/>
  </r>
  <r>
    <x v="4"/>
    <s v="MODI"/>
    <s v="Battery tube"/>
    <s v="130040660001514"/>
    <s v="Dongguan Wellsun Plastic"/>
    <m/>
    <s v="Plastic"/>
    <x v="1"/>
    <x v="3"/>
    <d v="2024-11-01T00:00:00"/>
    <m/>
    <n v="2.85337"/>
    <n v="2.8874949999999999"/>
    <n v="3.4125000000000003E-2"/>
    <n v="0"/>
    <n v="1"/>
    <n v="2.85337"/>
    <n v="232548"/>
    <n v="1562711"/>
    <n v="1092000"/>
    <n v="1038672.487125"/>
    <s v="PC2456"/>
    <s v="White"/>
    <n v="8.15"/>
    <m/>
    <s v="Painting"/>
    <n v="2.2845"/>
    <n v="671481.18726000004"/>
    <n v="531255.90599999996"/>
    <n v="1895.2662000000003"/>
    <m/>
  </r>
  <r>
    <x v="4"/>
    <s v="MODI"/>
    <s v="Battery tube"/>
    <s v="130040660001514"/>
    <s v="Dongguan Wellsun Plastic"/>
    <m/>
    <s v="Plastic"/>
    <x v="1"/>
    <x v="4"/>
    <d v="2024-11-01T00:00:00"/>
    <m/>
    <n v="2.85337"/>
    <n v="2.8874949999999999"/>
    <n v="3.4125000000000003E-2"/>
    <n v="0"/>
    <n v="1"/>
    <n v="2.85337"/>
    <n v="438975"/>
    <n v="1330163"/>
    <n v="1092000"/>
    <n v="1046608.187625"/>
    <s v="PC2456"/>
    <s v="White"/>
    <n v="8.15"/>
    <m/>
    <s v="Painting"/>
    <n v="2.2845"/>
    <n v="1267538.117625"/>
    <n v="1002838.3875"/>
    <n v="3577.6462499999998"/>
    <m/>
  </r>
  <r>
    <x v="4"/>
    <s v="MODI"/>
    <s v="Battery tube"/>
    <s v="130040660001514"/>
    <s v="Dongguan Wellsun Plastic"/>
    <m/>
    <s v="Plastic"/>
    <x v="1"/>
    <x v="5"/>
    <d v="2024-11-01T00:00:00"/>
    <m/>
    <n v="2.85337"/>
    <n v="2.8874949999999999"/>
    <n v="3.4125000000000003E-2"/>
    <n v="0"/>
    <n v="1"/>
    <n v="2.85337"/>
    <n v="107264"/>
    <n v="891188"/>
    <n v="1092000"/>
    <n v="1061588.2094999999"/>
    <s v="PC2456"/>
    <s v="White"/>
    <n v="8.15"/>
    <m/>
    <s v="Painting"/>
    <n v="2.2845"/>
    <n v="309724.26367999997"/>
    <n v="245044.60800000001"/>
    <n v="874.2016000000001"/>
    <m/>
  </r>
  <r>
    <x v="4"/>
    <s v="MODI"/>
    <s v="Battery tube"/>
    <s v="130040660001514"/>
    <s v="Dongguan Wellsun Plastic"/>
    <m/>
    <s v="Plastic"/>
    <x v="1"/>
    <x v="6"/>
    <d v="2024-11-01T00:00:00"/>
    <m/>
    <n v="2.85337"/>
    <n v="2.8874949999999999"/>
    <n v="3.4125000000000003E-2"/>
    <n v="0"/>
    <n v="1"/>
    <n v="2.85337"/>
    <n v="524293"/>
    <n v="783924"/>
    <n v="1092000"/>
    <n v="1065248.5935"/>
    <s v="PC2456"/>
    <s v="White"/>
    <n v="8.15"/>
    <m/>
    <s v="Painting"/>
    <n v="2.2845"/>
    <n v="1513893.416035"/>
    <n v="1197747.3585000001"/>
    <n v="4272.9879500000006"/>
    <m/>
  </r>
  <r>
    <x v="4"/>
    <s v="MODI"/>
    <s v="Battery tube"/>
    <s v="130040660001514"/>
    <s v="Dongguan Wellsun Plastic"/>
    <m/>
    <s v="Plastic"/>
    <x v="1"/>
    <x v="11"/>
    <d v="2024-11-01T00:00:00"/>
    <m/>
    <n v="2.85337"/>
    <n v="2.8874949999999999"/>
    <n v="3.4125000000000003E-2"/>
    <n v="0"/>
    <n v="1"/>
    <n v="2.85337"/>
    <n v="78548"/>
    <n v="259631"/>
    <n v="1092000"/>
    <n v="1083140.092125"/>
    <s v="PC2456"/>
    <s v="White"/>
    <n v="8.15"/>
    <m/>
    <s v="Painting"/>
    <n v="2.2845"/>
    <n v="226806.95726"/>
    <n v="179442.90599999999"/>
    <n v="640.16620000000012"/>
    <m/>
  </r>
  <r>
    <x v="4"/>
    <s v="MODI"/>
    <s v="Battery tube"/>
    <s v="130040660001514"/>
    <s v="Dongguan Wellsun Plastic"/>
    <m/>
    <s v="Plastic"/>
    <x v="1"/>
    <x v="7"/>
    <d v="2024-11-01T00:00:00"/>
    <m/>
    <n v="2.85337"/>
    <n v="2.8874949999999999"/>
    <n v="3.4125000000000003E-2"/>
    <n v="0"/>
    <n v="1"/>
    <n v="2.85337"/>
    <n v="155183"/>
    <n v="181083"/>
    <n v="1092000"/>
    <n v="1085820.542625"/>
    <s v="PC2456"/>
    <s v="White"/>
    <n v="8.15"/>
    <m/>
    <s v="Painting"/>
    <n v="2.2845"/>
    <n v="448090.13658499997"/>
    <n v="354515.56349999999"/>
    <n v="1264.74145"/>
    <m/>
  </r>
  <r>
    <x v="4"/>
    <s v="MODI"/>
    <s v="Mouth piece"/>
    <s v="13004013040453X"/>
    <s v="Dongguan Wellsun Plastic"/>
    <m/>
    <s v="Plastic"/>
    <x v="2"/>
    <x v="11"/>
    <d v="2025-03-06T00:00:00"/>
    <m/>
    <n v="0.83437000000000006"/>
    <n v="0.86280750000000006"/>
    <n v="2.8437500000000001E-2"/>
    <m/>
    <n v="1"/>
    <n v="0.83437000000000006"/>
    <n v="0"/>
    <n v="7990282"/>
    <n v="910000"/>
    <n v="682776.35562499997"/>
    <s v="PC2456"/>
    <s v="Black"/>
    <n v="3.8"/>
    <m/>
    <s v="Printing"/>
    <n v="0.26550000000000001"/>
    <n v="0"/>
    <n v="0"/>
    <n v="0"/>
    <m/>
  </r>
  <r>
    <x v="4"/>
    <s v="MODI"/>
    <s v="Mouth piece"/>
    <s v="13004013040453X"/>
    <s v="Dongguan Wellsun Plastic"/>
    <m/>
    <s v="Plastic"/>
    <x v="2"/>
    <x v="7"/>
    <d v="2025-02-17T00:00:00"/>
    <m/>
    <n v="0.83437000000000006"/>
    <n v="0.86280750000000006"/>
    <n v="2.8437500000000001E-2"/>
    <m/>
    <n v="1"/>
    <n v="0.83437000000000006"/>
    <n v="0"/>
    <n v="7990282"/>
    <n v="910000"/>
    <n v="682776.35562499997"/>
    <s v="PC2456"/>
    <s v="Black"/>
    <n v="3.8"/>
    <m/>
    <s v="Printing"/>
    <n v="0.26550000000000001"/>
    <n v="0"/>
    <n v="0"/>
    <n v="0"/>
    <m/>
  </r>
  <r>
    <x v="4"/>
    <s v="MODI"/>
    <s v="Mouth piece"/>
    <s v="13004013040453X"/>
    <s v="Dongguan Wellsun Plastic"/>
    <m/>
    <s v="Plastic"/>
    <x v="0"/>
    <x v="8"/>
    <d v="2025-01-08T00:00:00"/>
    <m/>
    <n v="0.83437000000000006"/>
    <n v="0.86280750000000006"/>
    <n v="2.8437500000000001E-2"/>
    <m/>
    <n v="1"/>
    <n v="0.83437000000000006"/>
    <n v="0"/>
    <n v="7990282"/>
    <n v="910000"/>
    <n v="682776.35562499997"/>
    <s v="PC2456"/>
    <s v="Black"/>
    <n v="3.8"/>
    <m/>
    <s v="Printing"/>
    <n v="0.26550000000000001"/>
    <n v="0"/>
    <n v="0"/>
    <n v="0"/>
    <m/>
  </r>
  <r>
    <x v="4"/>
    <s v="MODI"/>
    <s v="Mouth piece"/>
    <s v="13004013040453X"/>
    <s v="Dongguan Wellsun Plastic"/>
    <m/>
    <s v="Plastic"/>
    <x v="0"/>
    <x v="9"/>
    <d v="2024-12-03T00:00:00"/>
    <m/>
    <n v="0.83437000000000006"/>
    <n v="0.86280750000000006"/>
    <n v="2.8437500000000001E-2"/>
    <m/>
    <n v="1"/>
    <n v="0.83437000000000006"/>
    <n v="0"/>
    <n v="7990282"/>
    <n v="910000"/>
    <n v="682776.35562499997"/>
    <s v="PC2456"/>
    <s v="Black"/>
    <n v="3.8"/>
    <m/>
    <s v="Printing"/>
    <n v="0.26550000000000001"/>
    <n v="0"/>
    <n v="0"/>
    <n v="0"/>
    <m/>
  </r>
  <r>
    <x v="4"/>
    <s v="MODI"/>
    <s v="Mouth piece"/>
    <s v="13004013040453X"/>
    <s v="Dongguan Wellsun Plastic"/>
    <m/>
    <s v="Plastic"/>
    <x v="0"/>
    <x v="10"/>
    <d v="2024-11-22T00:00:00"/>
    <m/>
    <n v="0.83437000000000006"/>
    <n v="0.86280750000000006"/>
    <n v="2.8437500000000001E-2"/>
    <m/>
    <n v="1"/>
    <n v="0.83437000000000006"/>
    <n v="25480"/>
    <n v="7990282"/>
    <n v="910000"/>
    <n v="682776.35562499997"/>
    <s v="PC2456"/>
    <s v="Black"/>
    <n v="3.8"/>
    <m/>
    <s v="Printing"/>
    <n v="0.26550000000000001"/>
    <n v="21984.3351"/>
    <n v="6764.9400000000005"/>
    <n v="96.823999999999998"/>
    <m/>
  </r>
  <r>
    <x v="4"/>
    <s v="MODI"/>
    <s v="Mouth piece"/>
    <s v="13004013040453X"/>
    <s v="Dongguan Wellsun Plastic"/>
    <m/>
    <s v="Plastic"/>
    <x v="0"/>
    <x v="0"/>
    <d v="2024-11-22T00:00:00"/>
    <m/>
    <n v="0.83437000000000006"/>
    <n v="0.86280750000000006"/>
    <n v="2.8437500000000001E-2"/>
    <n v="0"/>
    <n v="1"/>
    <n v="0.83437000000000006"/>
    <n v="304520"/>
    <n v="7964802"/>
    <n v="910000"/>
    <n v="683500.94312499999"/>
    <s v="PC2456"/>
    <s v="Black"/>
    <n v="3.8"/>
    <m/>
    <s v="Printing"/>
    <n v="0.26550000000000001"/>
    <n v="262742.13990000001"/>
    <n v="80850.06"/>
    <n v="1157.1759999999999"/>
    <m/>
  </r>
  <r>
    <x v="4"/>
    <s v="MODI"/>
    <s v="Mouth piece"/>
    <s v="13004013040453X"/>
    <s v="Dongguan Wellsun Plastic"/>
    <m/>
    <s v="Plastic"/>
    <x v="0"/>
    <x v="1"/>
    <d v="2024-11-22T00:00:00"/>
    <m/>
    <n v="0.83437000000000006"/>
    <n v="0.86280750000000006"/>
    <n v="2.8437500000000001E-2"/>
    <n v="0"/>
    <n v="1"/>
    <n v="0.83437000000000006"/>
    <n v="189200"/>
    <n v="7660282"/>
    <n v="910000"/>
    <n v="692160.73062499997"/>
    <s v="PC2456"/>
    <s v="Black"/>
    <n v="3.8"/>
    <m/>
    <s v="Printing"/>
    <n v="0.26550000000000001"/>
    <n v="163243.179"/>
    <n v="50232.600000000006"/>
    <n v="718.96"/>
    <m/>
  </r>
  <r>
    <x v="4"/>
    <s v="MODI"/>
    <s v="Mouth piece"/>
    <s v="13004013040453X"/>
    <s v="Dongguan Wellsun Plastic"/>
    <m/>
    <s v="Plastic"/>
    <x v="0"/>
    <x v="3"/>
    <d v="2024-11-22T00:00:00"/>
    <m/>
    <n v="0.83437000000000006"/>
    <n v="0.86280750000000006"/>
    <n v="2.8437500000000001E-2"/>
    <n v="0"/>
    <n v="1"/>
    <n v="0.83437000000000006"/>
    <n v="214097"/>
    <n v="7471082"/>
    <n v="910000"/>
    <n v="697541.10562499997"/>
    <s v="PC2456"/>
    <s v="Black"/>
    <n v="3.8"/>
    <m/>
    <s v="Printing"/>
    <n v="0.26550000000000001"/>
    <n v="184724.49732750002"/>
    <n v="56842.753500000006"/>
    <n v="813.56859999999995"/>
    <m/>
  </r>
  <r>
    <x v="4"/>
    <s v="MODI"/>
    <s v="Mouth piece"/>
    <s v="13004013040453X"/>
    <s v="Dongguan Wellsun Plastic"/>
    <m/>
    <s v="Plastic"/>
    <x v="0"/>
    <x v="4"/>
    <d v="2024-11-22T00:00:00"/>
    <m/>
    <n v="0.83437000000000006"/>
    <n v="0.86280750000000006"/>
    <n v="2.8437500000000001E-2"/>
    <n v="0"/>
    <n v="1"/>
    <n v="0.83437000000000006"/>
    <n v="547715"/>
    <n v="7256985"/>
    <n v="910000"/>
    <n v="703629.48906249995"/>
    <s v="PC2456"/>
    <s v="Black"/>
    <n v="3.8"/>
    <m/>
    <s v="Printing"/>
    <n v="0.26550000000000001"/>
    <n v="472572.60986250004"/>
    <n v="145418.33250000002"/>
    <n v="2081.317"/>
    <m/>
  </r>
  <r>
    <x v="4"/>
    <s v="MODI"/>
    <s v="Mouth piece"/>
    <s v="13004013040453X"/>
    <s v="Dongguan Wellsun Plastic"/>
    <m/>
    <s v="Plastic"/>
    <x v="0"/>
    <x v="5"/>
    <d v="2024-11-22T00:00:00"/>
    <m/>
    <n v="0.83437000000000006"/>
    <n v="0.86280750000000006"/>
    <n v="2.8437500000000001E-2"/>
    <n v="0"/>
    <n v="1"/>
    <n v="0.83437000000000006"/>
    <n v="670334"/>
    <n v="6709270"/>
    <n v="910000"/>
    <n v="719205.13437500002"/>
    <s v="PC2456"/>
    <s v="Black"/>
    <n v="3.8"/>
    <m/>
    <s v="Printing"/>
    <n v="0.26550000000000001"/>
    <n v="578369.20270500006"/>
    <n v="177973.677"/>
    <n v="2547.2691999999997"/>
    <m/>
  </r>
  <r>
    <x v="4"/>
    <s v="MODI"/>
    <s v="Mouth piece"/>
    <s v="13004013040453X"/>
    <s v="Dongguan Wellsun Plastic"/>
    <m/>
    <s v="Plastic"/>
    <x v="0"/>
    <x v="6"/>
    <d v="2024-11-22T00:00:00"/>
    <m/>
    <n v="0.83437000000000006"/>
    <n v="0.86280750000000006"/>
    <n v="2.8437500000000001E-2"/>
    <n v="0"/>
    <n v="1"/>
    <n v="0.83437000000000006"/>
    <n v="725999"/>
    <n v="6038936"/>
    <n v="910000"/>
    <n v="738267.75750000007"/>
    <s v="PC2456"/>
    <s v="Black"/>
    <n v="3.8"/>
    <m/>
    <s v="Printing"/>
    <n v="0.26550000000000001"/>
    <n v="626397.38219250005"/>
    <n v="192752.73450000002"/>
    <n v="2758.7961999999998"/>
    <m/>
  </r>
  <r>
    <x v="4"/>
    <s v="MODI"/>
    <s v="Mouth piece"/>
    <s v="13004013040453X"/>
    <s v="Dongguan Wellsun Plastic"/>
    <m/>
    <s v="Plastic"/>
    <x v="0"/>
    <x v="11"/>
    <d v="2024-11-22T00:00:00"/>
    <m/>
    <n v="0.83437000000000006"/>
    <n v="0.86280750000000006"/>
    <n v="2.8437500000000001E-2"/>
    <n v="0"/>
    <n v="1"/>
    <n v="0.83437000000000006"/>
    <n v="65200"/>
    <n v="5312937"/>
    <n v="910000"/>
    <n v="758913.35406249994"/>
    <s v="PC2456"/>
    <s v="Black"/>
    <n v="3.8"/>
    <m/>
    <s v="Printing"/>
    <n v="0.26550000000000001"/>
    <n v="56255.049000000006"/>
    <n v="17310.600000000002"/>
    <n v="247.76"/>
    <m/>
  </r>
  <r>
    <x v="4"/>
    <s v="MODI"/>
    <s v="Mouth piece"/>
    <s v="13004013040453X"/>
    <s v="Dongguan Wellsun Plastic"/>
    <m/>
    <s v="Plastic"/>
    <x v="0"/>
    <x v="7"/>
    <d v="2024-11-22T00:00:00"/>
    <m/>
    <n v="0.83437000000000006"/>
    <n v="0.86280750000000006"/>
    <n v="2.8437500000000001E-2"/>
    <n v="0"/>
    <n v="1"/>
    <n v="0.83437000000000006"/>
    <n v="236135"/>
    <n v="5247737"/>
    <n v="910000"/>
    <n v="760767.47906249994"/>
    <s v="PC2456"/>
    <s v="Black"/>
    <n v="3.8"/>
    <m/>
    <s v="Printing"/>
    <n v="0.26550000000000001"/>
    <n v="203739.04901250001"/>
    <n v="62693.842500000006"/>
    <n v="897.31299999999999"/>
    <m/>
  </r>
  <r>
    <x v="4"/>
    <s v="MODI"/>
    <s v="Mouth piece"/>
    <s v="13004013040453X"/>
    <s v="Dongguan Wellsun Plastic"/>
    <m/>
    <s v="Plastic"/>
    <x v="1"/>
    <x v="8"/>
    <d v="2024-11-22T00:00:00"/>
    <m/>
    <n v="0.83437000000000006"/>
    <n v="0.86280750000000006"/>
    <n v="2.8437500000000001E-2"/>
    <n v="0"/>
    <n v="1"/>
    <n v="0.83437000000000006"/>
    <n v="131310"/>
    <n v="5011602"/>
    <n v="910000"/>
    <n v="767482.56812499999"/>
    <s v="PC2456"/>
    <s v="Black"/>
    <n v="3.8"/>
    <m/>
    <s v="Printing"/>
    <n v="0.26550000000000001"/>
    <n v="113295.252825"/>
    <n v="34862.805"/>
    <n v="498.97800000000001"/>
    <m/>
  </r>
  <r>
    <x v="4"/>
    <s v="MODI"/>
    <s v="Mouth piece"/>
    <s v="13004013040453X"/>
    <s v="Dongguan Wellsun Plastic"/>
    <m/>
    <s v="Plastic"/>
    <x v="1"/>
    <x v="9"/>
    <d v="2024-11-22T00:00:00"/>
    <m/>
    <n v="0.83437000000000006"/>
    <n v="0.86280750000000006"/>
    <n v="2.8437500000000001E-2"/>
    <n v="0"/>
    <n v="1"/>
    <n v="0.83437000000000006"/>
    <n v="383265"/>
    <n v="4880292"/>
    <n v="910000"/>
    <n v="771216.69625000004"/>
    <s v="PC2456"/>
    <s v="Black"/>
    <n v="3.8"/>
    <m/>
    <s v="Printing"/>
    <n v="0.26550000000000001"/>
    <n v="330683.91648750001"/>
    <n v="101756.8575"/>
    <n v="1456.4069999999999"/>
    <m/>
  </r>
  <r>
    <x v="4"/>
    <s v="MODI"/>
    <s v="Mouth piece"/>
    <s v="13004013040453X"/>
    <s v="Dongguan Wellsun Plastic"/>
    <m/>
    <s v="Plastic"/>
    <x v="1"/>
    <x v="10"/>
    <d v="2024-11-22T00:00:00"/>
    <m/>
    <n v="0.83437000000000006"/>
    <n v="0.86280750000000006"/>
    <n v="2.8437500000000001E-2"/>
    <n v="0"/>
    <n v="1"/>
    <n v="0.83437000000000006"/>
    <n v="255821"/>
    <n v="4497027"/>
    <n v="910000"/>
    <n v="782115.79468749999"/>
    <s v="PC2456"/>
    <s v="Black"/>
    <n v="3.8"/>
    <m/>
    <s v="Printing"/>
    <n v="0.26550000000000001"/>
    <n v="220724.27745750002"/>
    <n v="67920.4755"/>
    <n v="972.11979999999994"/>
    <m/>
  </r>
  <r>
    <x v="4"/>
    <s v="MODI"/>
    <s v="Mouth piece"/>
    <s v="13004013040453X"/>
    <s v="Dongguan Wellsun Plastic"/>
    <m/>
    <s v="Plastic"/>
    <x v="1"/>
    <x v="0"/>
    <d v="2024-11-22T00:00:00"/>
    <m/>
    <n v="0.83437000000000006"/>
    <n v="0.86280750000000006"/>
    <n v="2.8437500000000001E-2"/>
    <n v="0"/>
    <n v="1"/>
    <n v="0.83437000000000006"/>
    <n v="641083"/>
    <n v="4241206"/>
    <n v="910000"/>
    <n v="789390.70437499997"/>
    <s v="PC2456"/>
    <s v="Black"/>
    <n v="3.8"/>
    <m/>
    <s v="Printing"/>
    <n v="0.26550000000000001"/>
    <n v="553131.22052249999"/>
    <n v="170207.53650000002"/>
    <n v="2436.1153999999997"/>
    <m/>
  </r>
  <r>
    <x v="4"/>
    <s v="MODI"/>
    <s v="Mouth piece"/>
    <s v="13004013040453X"/>
    <s v="Dongguan Wellsun Plastic"/>
    <m/>
    <s v="Plastic"/>
    <x v="1"/>
    <x v="1"/>
    <d v="2024-11-22T00:00:00"/>
    <m/>
    <n v="0.83437000000000006"/>
    <n v="0.86280750000000006"/>
    <n v="2.8437500000000001E-2"/>
    <n v="0"/>
    <n v="1"/>
    <n v="0.83437000000000006"/>
    <n v="396271"/>
    <n v="3600123"/>
    <n v="910000"/>
    <n v="807621.50218750001"/>
    <s v="PC2456"/>
    <s v="Black"/>
    <n v="3.8"/>
    <m/>
    <s v="Printing"/>
    <n v="0.26550000000000001"/>
    <n v="341905.59083250002"/>
    <n v="105209.95050000001"/>
    <n v="1505.8297999999998"/>
    <m/>
  </r>
  <r>
    <x v="4"/>
    <s v="MODI"/>
    <s v="Mouth piece"/>
    <s v="13004013040453X"/>
    <s v="Dongguan Wellsun Plastic"/>
    <m/>
    <s v="Plastic"/>
    <x v="1"/>
    <x v="2"/>
    <d v="2024-11-22T00:00:00"/>
    <m/>
    <n v="0.83437000000000006"/>
    <n v="0.86280750000000006"/>
    <n v="2.8437500000000001E-2"/>
    <n v="0"/>
    <n v="1"/>
    <n v="0.83437000000000006"/>
    <n v="1153699"/>
    <n v="3203852"/>
    <n v="910000"/>
    <n v="818890.45874999999"/>
    <s v="PC2456"/>
    <s v="Black"/>
    <n v="3.8"/>
    <m/>
    <s v="Printing"/>
    <n v="0.26550000000000001"/>
    <n v="995420.14994250005"/>
    <n v="306307.0845"/>
    <n v="4384.0562"/>
    <m/>
  </r>
  <r>
    <x v="4"/>
    <s v="MODI"/>
    <s v="Mouth piece"/>
    <s v="13004013040453X"/>
    <s v="Dongguan Wellsun Plastic"/>
    <m/>
    <s v="Plastic"/>
    <x v="1"/>
    <x v="3"/>
    <d v="2024-11-22T00:00:00"/>
    <m/>
    <n v="0.83437000000000006"/>
    <n v="0.86280750000000006"/>
    <n v="2.8437500000000001E-2"/>
    <n v="0"/>
    <n v="1"/>
    <n v="0.83437000000000006"/>
    <n v="152820"/>
    <n v="2050153"/>
    <n v="910000"/>
    <n v="851698.77406249999"/>
    <s v="PC2456"/>
    <s v="Black"/>
    <n v="3.8"/>
    <m/>
    <s v="Printing"/>
    <n v="0.26550000000000001"/>
    <n v="131854.24215000001"/>
    <n v="40573.71"/>
    <n v="580.71600000000001"/>
    <m/>
  </r>
  <r>
    <x v="4"/>
    <s v="MODI"/>
    <s v="Mouth piece"/>
    <s v="13004013040453X"/>
    <s v="Dongguan Wellsun Plastic"/>
    <m/>
    <s v="Plastic"/>
    <x v="1"/>
    <x v="4"/>
    <d v="2024-11-22T00:00:00"/>
    <m/>
    <n v="0.83437000000000006"/>
    <n v="0.86280750000000006"/>
    <n v="2.8437500000000001E-2"/>
    <n v="0"/>
    <n v="1"/>
    <n v="0.83437000000000006"/>
    <n v="790894"/>
    <n v="1897333"/>
    <n v="910000"/>
    <n v="856044.59281249996"/>
    <s v="PC2456"/>
    <s v="Black"/>
    <n v="3.8"/>
    <m/>
    <s v="Printing"/>
    <n v="0.26550000000000001"/>
    <n v="682389.274905"/>
    <n v="209982.35700000002"/>
    <n v="3005.3971999999999"/>
    <m/>
  </r>
  <r>
    <x v="4"/>
    <s v="MODI"/>
    <s v="Mouth piece"/>
    <s v="13004013040453X"/>
    <s v="Dongguan Wellsun Plastic"/>
    <m/>
    <s v="Plastic"/>
    <x v="1"/>
    <x v="5"/>
    <d v="2024-11-22T00:00:00"/>
    <m/>
    <n v="0.83437000000000006"/>
    <n v="0.86280750000000006"/>
    <n v="2.8437500000000001E-2"/>
    <n v="0"/>
    <n v="1"/>
    <n v="0.83437000000000006"/>
    <n v="239679"/>
    <n v="1106439"/>
    <n v="910000"/>
    <n v="878535.64093750005"/>
    <s v="PC2456"/>
    <s v="Black"/>
    <n v="3.8"/>
    <m/>
    <s v="Printing"/>
    <n v="0.26550000000000001"/>
    <n v="206796.83879250003"/>
    <n v="63634.774500000007"/>
    <n v="910.78019999999992"/>
    <m/>
  </r>
  <r>
    <x v="4"/>
    <s v="MODI"/>
    <s v="Mouth piece"/>
    <s v="13004013040453X"/>
    <s v="Dongguan Wellsun Plastic"/>
    <m/>
    <s v="Plastic"/>
    <x v="1"/>
    <x v="6"/>
    <d v="2024-11-22T00:00:00"/>
    <m/>
    <n v="0.83437000000000006"/>
    <n v="0.86280750000000006"/>
    <n v="2.8437500000000001E-2"/>
    <n v="0"/>
    <n v="1"/>
    <n v="0.83437000000000006"/>
    <n v="614610"/>
    <n v="866760"/>
    <n v="910000"/>
    <n v="885351.51249999995"/>
    <s v="PC2456"/>
    <s v="Black"/>
    <n v="3.8"/>
    <m/>
    <s v="Printing"/>
    <n v="0.26550000000000001"/>
    <n v="530290.11757500004"/>
    <n v="163178.95500000002"/>
    <n v="2335.518"/>
    <m/>
  </r>
  <r>
    <x v="4"/>
    <s v="MODI"/>
    <s v="Mouth piece"/>
    <s v="13004013040453X"/>
    <s v="Dongguan Wellsun Plastic"/>
    <m/>
    <s v="Plastic"/>
    <x v="1"/>
    <x v="11"/>
    <d v="2024-11-22T00:00:00"/>
    <m/>
    <n v="0.83437000000000006"/>
    <n v="0.86280750000000006"/>
    <n v="2.8437500000000001E-2"/>
    <n v="0"/>
    <n v="1"/>
    <n v="0.83437000000000006"/>
    <n v="152070"/>
    <n v="252150"/>
    <n v="910000"/>
    <n v="902829.484375"/>
    <s v="PC2456"/>
    <s v="Black"/>
    <n v="3.8"/>
    <m/>
    <s v="Printing"/>
    <n v="0.26550000000000001"/>
    <n v="131207.13652500001"/>
    <n v="40374.584999999999"/>
    <n v="577.86599999999999"/>
    <m/>
  </r>
  <r>
    <x v="4"/>
    <s v="MODI"/>
    <s v="Mouth piece"/>
    <s v="13004013040453X"/>
    <s v="Dongguan Wellsun Plastic"/>
    <m/>
    <s v="Plastic"/>
    <x v="1"/>
    <x v="7"/>
    <d v="2024-11-22T00:00:00"/>
    <m/>
    <n v="0.83437000000000006"/>
    <n v="0.86280750000000006"/>
    <n v="2.8437500000000001E-2"/>
    <n v="0"/>
    <n v="1"/>
    <n v="0.83437000000000006"/>
    <n v="100080"/>
    <n v="100080"/>
    <n v="910000"/>
    <n v="907153.97499999998"/>
    <s v="PC2456"/>
    <s v="Black"/>
    <n v="3.8"/>
    <m/>
    <s v="Printing"/>
    <n v="0.26550000000000001"/>
    <n v="86349.774600000004"/>
    <n v="26571.24"/>
    <n v="380.30399999999997"/>
    <m/>
  </r>
  <r>
    <x v="5"/>
    <s v="RCS POD"/>
    <s v="Cartridge Tube"/>
    <s v="130010390000214"/>
    <s v="Indonesia Wellsun Plastic"/>
    <m/>
    <s v="Plastic"/>
    <x v="2"/>
    <x v="11"/>
    <d v="2025-03-06T00:00:00"/>
    <m/>
    <n v="0.26597999999999999"/>
    <n v="0.36036000000000001"/>
    <n v="9.4380000000000006E-2"/>
    <m/>
    <n v="1"/>
    <n v="0.26597999999999999"/>
    <n v="16993341"/>
    <n v="352423329"/>
    <n v="23824753.943837203"/>
    <n v="-7500364.3000000007"/>
    <s v="PCTG 1501"/>
    <s v="Transparent"/>
    <n v="2.09"/>
    <m/>
    <m/>
    <m/>
    <n v="6123720.3627599999"/>
    <m/>
    <n v="35516.082689999996"/>
    <m/>
  </r>
  <r>
    <x v="5"/>
    <s v="RCS POD"/>
    <s v="Cartridge Tube"/>
    <s v="130010390000214"/>
    <s v="Indonesia Wellsun Plastic"/>
    <m/>
    <s v="Plastic"/>
    <x v="2"/>
    <x v="7"/>
    <d v="2025-02-17T00:00:00"/>
    <m/>
    <n v="0.26597999999999999"/>
    <n v="0.36036000000000001"/>
    <n v="9.4380000000000006E-2"/>
    <m/>
    <n v="1"/>
    <n v="0.26597999999999999"/>
    <n v="11520601"/>
    <n v="335429988"/>
    <n v="23824753.943837203"/>
    <n v="-5897764.7843399998"/>
    <s v="PCTG 1501"/>
    <s v="Transparent"/>
    <n v="2.09"/>
    <m/>
    <m/>
    <m/>
    <n v="4151563.77636"/>
    <m/>
    <n v="24078.056089999998"/>
    <m/>
  </r>
  <r>
    <x v="5"/>
    <s v="RCS POD"/>
    <s v="Cartridge Tube"/>
    <s v="130010390000214"/>
    <s v="Indonesia Wellsun Plastic"/>
    <m/>
    <s v="Plastic"/>
    <x v="0"/>
    <x v="8"/>
    <d v="2025-01-08T00:00:00"/>
    <m/>
    <n v="0.26597999999999999"/>
    <n v="0.36036000000000001"/>
    <n v="9.4380000000000006E-2"/>
    <m/>
    <n v="1"/>
    <n v="0.26597999999999999"/>
    <n v="14880934"/>
    <n v="323909387"/>
    <n v="23824753.943837203"/>
    <n v="-4811285.05"/>
    <s v="PCTG 1501"/>
    <s v="Transparent"/>
    <n v="2.09"/>
    <m/>
    <m/>
    <m/>
    <n v="5362493.3762400001"/>
    <m/>
    <n v="31101.15206"/>
    <m/>
  </r>
  <r>
    <x v="5"/>
    <s v="RCS POD"/>
    <s v="Cartridge Tube"/>
    <s v="130010390000214"/>
    <s v="Indonesia Wellsun Plastic"/>
    <m/>
    <s v="Plastic"/>
    <x v="0"/>
    <x v="9"/>
    <d v="2024-12-03T00:00:00"/>
    <m/>
    <n v="0.26597999999999999"/>
    <n v="0.36036000000000001"/>
    <n v="9.4380000000000006E-2"/>
    <m/>
    <n v="1"/>
    <n v="0.26597999999999999"/>
    <n v="10728000"/>
    <n v="309028453"/>
    <n v="23824753.943837203"/>
    <n v="-3407906.5055750003"/>
    <s v="PCTG 1501"/>
    <s v="Transparent"/>
    <n v="2.09"/>
    <m/>
    <m/>
    <m/>
    <n v="3865942.08"/>
    <m/>
    <n v="22421.52"/>
    <m/>
  </r>
  <r>
    <x v="5"/>
    <s v="RCS POD"/>
    <s v="Cartridge Tube"/>
    <s v="130010390000214"/>
    <s v="Indonesia Wellsun Plastic"/>
    <m/>
    <s v="Plastic"/>
    <x v="0"/>
    <x v="10"/>
    <d v="2024-11-05T00:00:00"/>
    <m/>
    <n v="0.26597999999999999"/>
    <n v="0.36036000000000001"/>
    <n v="9.4380000000000006E-2"/>
    <m/>
    <n v="1"/>
    <n v="0.26597999999999999"/>
    <n v="11736000"/>
    <n v="298300453"/>
    <n v="23824753.943837203"/>
    <n v="-2396177.4669770151"/>
    <s v="PCTG 1501"/>
    <s v="Transparent"/>
    <n v="2.09"/>
    <m/>
    <m/>
    <m/>
    <n v="4229184.96"/>
    <m/>
    <n v="24528.240000000002"/>
    <m/>
  </r>
  <r>
    <x v="5"/>
    <s v="RCS POD"/>
    <s v="Cartridge Tube"/>
    <s v="130010390000214"/>
    <s v="Indonesia Wellsun Plastic"/>
    <m/>
    <s v="Plastic"/>
    <x v="0"/>
    <x v="0"/>
    <d v="2024-11-01T00:00:00"/>
    <m/>
    <n v="0.26597999999999999"/>
    <n v="0.36036000000000001"/>
    <n v="9.4380000000000006E-2"/>
    <n v="0"/>
    <n v="1"/>
    <n v="0.26597999999999999"/>
    <n v="9250347"/>
    <n v="286564453"/>
    <n v="23824753.943837203"/>
    <n v="-1289386.6398055002"/>
    <s v="PCTG 1501"/>
    <s v="Transparent"/>
    <n v="2.09"/>
    <m/>
    <m/>
    <m/>
    <n v="3333455.0449200002"/>
    <m/>
    <n v="19333.22523"/>
    <m/>
  </r>
  <r>
    <x v="5"/>
    <s v="RCS POD"/>
    <s v="Cartridge Tube"/>
    <s v="130010390000214"/>
    <s v="Indonesia Wellsun Plastic"/>
    <m/>
    <s v="Plastic"/>
    <x v="0"/>
    <x v="1"/>
    <d v="2024-11-01T00:00:00"/>
    <m/>
    <n v="0.26597999999999999"/>
    <n v="0.36036000000000001"/>
    <n v="9.4380000000000006E-2"/>
    <m/>
    <n v="1"/>
    <n v="0.26597999999999999"/>
    <n v="10080000"/>
    <n v="277314106"/>
    <n v="23824753.943837203"/>
    <n v="-417011.11085580592"/>
    <s v="PCTG 1501"/>
    <s v="Transparent"/>
    <n v="2.09"/>
    <m/>
    <m/>
    <m/>
    <n v="3632428.8000000003"/>
    <m/>
    <n v="21067.200000000001"/>
    <m/>
  </r>
  <r>
    <x v="5"/>
    <s v="RCS POD"/>
    <s v="Cartridge Tube"/>
    <s v="130010390000214"/>
    <s v="Indonesia Wellsun Plastic"/>
    <m/>
    <s v="Plastic"/>
    <x v="0"/>
    <x v="2"/>
    <d v="2024-11-01T00:00:00"/>
    <m/>
    <n v="0.26597999999999999"/>
    <n v="0.36036000000000001"/>
    <n v="9.4380000000000006E-2"/>
    <m/>
    <n v="1"/>
    <n v="0.26597999999999999"/>
    <n v="14505489"/>
    <n v="267234106"/>
    <n v="23824753.943837203"/>
    <n v="533606.77751237212"/>
    <s v="PCTG 1501"/>
    <s v="Transparent"/>
    <n v="2.09"/>
    <m/>
    <m/>
    <m/>
    <n v="5227198.0160400001"/>
    <m/>
    <n v="30316.472009999998"/>
    <m/>
  </r>
  <r>
    <x v="5"/>
    <s v="RCS POD"/>
    <s v="Cartridge Tube"/>
    <s v="130010390000214"/>
    <s v="Indonesia Wellsun Plastic"/>
    <m/>
    <s v="Plastic"/>
    <x v="0"/>
    <x v="3"/>
    <d v="2024-11-01T00:00:00"/>
    <m/>
    <n v="0.26597999999999999"/>
    <n v="0.36036000000000001"/>
    <n v="9.4380000000000006E-2"/>
    <m/>
    <n v="1"/>
    <n v="0.26597999999999999"/>
    <n v="10800000"/>
    <n v="252728617"/>
    <n v="23824753.943837203"/>
    <n v="1901580.7182790204"/>
    <s v="PCTG 1501"/>
    <s v="Transparent"/>
    <n v="2.09"/>
    <m/>
    <m/>
    <m/>
    <n v="3891888"/>
    <m/>
    <n v="22572"/>
    <m/>
  </r>
  <r>
    <x v="5"/>
    <s v="RCS POD"/>
    <s v="Cartridge Tube"/>
    <s v="130010390000214"/>
    <s v="Indonesia Wellsun Plastic"/>
    <m/>
    <s v="Plastic"/>
    <x v="0"/>
    <x v="4"/>
    <d v="2024-11-01T00:00:00"/>
    <m/>
    <n v="0.26597999999999999"/>
    <n v="0.36036000000000001"/>
    <n v="9.4380000000000006E-2"/>
    <m/>
    <n v="1"/>
    <n v="0.26597999999999999"/>
    <n v="17242347"/>
    <n v="241928617"/>
    <n v="23824753.943837203"/>
    <n v="2920099.884387786"/>
    <s v="PCTG 1501"/>
    <s v="Transparent"/>
    <n v="2.09"/>
    <m/>
    <m/>
    <m/>
    <n v="6213452.1649200004"/>
    <m/>
    <n v="36036.505229999995"/>
    <m/>
  </r>
  <r>
    <x v="5"/>
    <s v="RCS POD"/>
    <s v="Cartridge Tube"/>
    <s v="130010390000214"/>
    <s v="Indonesia Wellsun Plastic"/>
    <m/>
    <s v="Plastic"/>
    <x v="0"/>
    <x v="5"/>
    <d v="2024-11-01T00:00:00"/>
    <m/>
    <n v="0.26597999999999999"/>
    <n v="0.36036000000000001"/>
    <n v="9.4380000000000006E-2"/>
    <m/>
    <n v="1"/>
    <n v="0.26597999999999999"/>
    <n v="8040000"/>
    <n v="224686270"/>
    <n v="23824753.943837203"/>
    <n v="4546179.5962579641"/>
    <s v="PCTG 1501"/>
    <s v="Transparent"/>
    <n v="2.09"/>
    <m/>
    <m/>
    <m/>
    <n v="2897294.4"/>
    <m/>
    <n v="16803.599999999999"/>
    <m/>
  </r>
  <r>
    <x v="5"/>
    <s v="RCS POD"/>
    <s v="Cartridge Tube"/>
    <s v="130010390000214"/>
    <s v="Indonesia Wellsun Plastic"/>
    <m/>
    <s v="Plastic"/>
    <x v="0"/>
    <x v="6"/>
    <d v="2024-11-01T00:00:00"/>
    <m/>
    <n v="0.26597999999999999"/>
    <n v="0.36036000000000001"/>
    <n v="9.4380000000000006E-2"/>
    <m/>
    <n v="1"/>
    <n v="0.26597999999999999"/>
    <n v="12648000"/>
    <n v="216646270"/>
    <n v="23824753.943837203"/>
    <n v="5304410.5310278153"/>
    <s v="PCTG 1501"/>
    <s v="Transparent"/>
    <n v="2.09"/>
    <m/>
    <m/>
    <m/>
    <n v="4557833.28"/>
    <m/>
    <n v="26434.32"/>
    <m/>
  </r>
  <r>
    <x v="5"/>
    <s v="RCS POD"/>
    <s v="Cartridge Tube"/>
    <s v="130010390000214"/>
    <s v="Indonesia Wellsun Plastic"/>
    <m/>
    <s v="Plastic"/>
    <x v="0"/>
    <x v="11"/>
    <d v="2024-11-01T00:00:00"/>
    <m/>
    <n v="0.26597999999999999"/>
    <n v="0.36036000000000001"/>
    <n v="9.4380000000000006E-2"/>
    <m/>
    <n v="1"/>
    <n v="0.26597999999999999"/>
    <n v="11921211"/>
    <n v="203998270"/>
    <n v="23824753.943837203"/>
    <n v="6497209.6433374137"/>
    <s v="PCTG 1501"/>
    <s v="Transparent"/>
    <n v="2.09"/>
    <m/>
    <m/>
    <m/>
    <n v="4295927.5959600005"/>
    <m/>
    <n v="24915.330989999999"/>
    <m/>
  </r>
  <r>
    <x v="5"/>
    <s v="RCS POD"/>
    <s v="Cartridge Tube"/>
    <s v="130010390000214"/>
    <s v="Indonesia Wellsun Plastic"/>
    <m/>
    <s v="Plastic"/>
    <x v="0"/>
    <x v="7"/>
    <d v="2024-11-01T00:00:00"/>
    <m/>
    <n v="0.26597999999999999"/>
    <n v="0.36036000000000001"/>
    <n v="9.4380000000000006E-2"/>
    <m/>
    <n v="1"/>
    <n v="0.26597999999999999"/>
    <n v="11856000"/>
    <n v="192077059"/>
    <n v="23824753.943837203"/>
    <n v="7621467.2254417129"/>
    <s v="PCTG 1501"/>
    <s v="Transparent"/>
    <n v="2.09"/>
    <m/>
    <m/>
    <m/>
    <n v="4272428.16"/>
    <m/>
    <n v="24779.040000000001"/>
    <m/>
  </r>
  <r>
    <x v="5"/>
    <s v="RCS POD"/>
    <s v="Cartridge Tube"/>
    <s v="130010390000214"/>
    <s v="Indonesia Wellsun Plastic"/>
    <m/>
    <s v="Plastic"/>
    <x v="1"/>
    <x v="8"/>
    <d v="2024-11-01T00:00:00"/>
    <m/>
    <n v="0.26597999999999999"/>
    <n v="0.36036000000000001"/>
    <n v="9.4380000000000006E-2"/>
    <m/>
    <n v="1"/>
    <n v="0.26597999999999999"/>
    <n v="10445104"/>
    <n v="180221059"/>
    <n v="23824753.943837203"/>
    <n v="8739574.9322366491"/>
    <s v="PCTG 1501"/>
    <s v="Transparent"/>
    <n v="2.09"/>
    <m/>
    <m/>
    <m/>
    <n v="3763997.6774400002"/>
    <m/>
    <n v="21830.267359999998"/>
    <m/>
  </r>
  <r>
    <x v="5"/>
    <s v="RCS POD"/>
    <s v="Cartridge Tube"/>
    <s v="130010390000214"/>
    <s v="Indonesia Wellsun Plastic"/>
    <m/>
    <s v="Plastic"/>
    <x v="1"/>
    <x v="9"/>
    <d v="2024-11-01T00:00:00"/>
    <m/>
    <n v="0.26597999999999999"/>
    <n v="0.36036000000000001"/>
    <n v="9.4380000000000006E-2"/>
    <m/>
    <n v="1"/>
    <n v="0.26597999999999999"/>
    <n v="8040000"/>
    <n v="169775955"/>
    <n v="23824753.943837203"/>
    <n v="9724624.8040884808"/>
    <s v="PCTG 1501"/>
    <s v="Transparent"/>
    <n v="2.09"/>
    <m/>
    <m/>
    <m/>
    <n v="2897294.4"/>
    <m/>
    <n v="16803.599999999999"/>
    <m/>
  </r>
  <r>
    <x v="5"/>
    <s v="RCS POD"/>
    <s v="Cartridge Tube"/>
    <s v="130010390000214"/>
    <s v="Indonesia Wellsun Plastic"/>
    <m/>
    <s v="Plastic"/>
    <x v="1"/>
    <x v="10"/>
    <d v="2024-11-01T00:00:00"/>
    <m/>
    <n v="0.26597999999999999"/>
    <n v="0.36036000000000001"/>
    <n v="9.4380000000000006E-2"/>
    <m/>
    <n v="1"/>
    <n v="0.26597999999999999"/>
    <n v="4800000"/>
    <n v="161735955"/>
    <n v="23824753.943837203"/>
    <n v="10482855.73885829"/>
    <s v="PCTG 1501"/>
    <s v="Transparent"/>
    <n v="2.09"/>
    <m/>
    <m/>
    <m/>
    <n v="1729728"/>
    <m/>
    <n v="10032"/>
    <m/>
  </r>
  <r>
    <x v="5"/>
    <s v="RCS POD"/>
    <s v="Cartridge Tube"/>
    <s v="130010390000214"/>
    <s v="Indonesia Wellsun Plastic"/>
    <m/>
    <s v="Plastic"/>
    <x v="1"/>
    <x v="0"/>
    <d v="2024-11-01T00:00:00"/>
    <m/>
    <n v="0.26597999999999999"/>
    <n v="0.36036000000000001"/>
    <n v="9.4380000000000006E-2"/>
    <m/>
    <n v="1"/>
    <n v="0.26597999999999999"/>
    <n v="5249211"/>
    <n v="156935955"/>
    <n v="23824753.943837203"/>
    <n v="10935530.923795549"/>
    <s v="PCTG 1501"/>
    <s v="Transparent"/>
    <n v="2.09"/>
    <m/>
    <m/>
    <m/>
    <n v="1891605.6759600001"/>
    <m/>
    <n v="10970.850989999999"/>
    <m/>
  </r>
  <r>
    <x v="5"/>
    <s v="RCS POD"/>
    <s v="Cartridge Tube"/>
    <s v="130010390000214"/>
    <s v="Indonesia Wellsun Plastic"/>
    <m/>
    <s v="Plastic"/>
    <x v="1"/>
    <x v="1"/>
    <d v="2024-11-01T00:00:00"/>
    <m/>
    <n v="0.26597999999999999"/>
    <n v="0.36036000000000001"/>
    <n v="9.4380000000000006E-2"/>
    <m/>
    <n v="1"/>
    <n v="0.26597999999999999"/>
    <n v="8328000"/>
    <n v="151686744"/>
    <n v="23824753.943837203"/>
    <n v="11430569.998837132"/>
    <s v="PCTG 1501"/>
    <s v="Transparent"/>
    <n v="2.09"/>
    <m/>
    <m/>
    <m/>
    <n v="3001078.08"/>
    <m/>
    <n v="17405.52"/>
    <m/>
  </r>
  <r>
    <x v="5"/>
    <s v="RCS POD"/>
    <s v="Cartridge Tube"/>
    <s v="130010390000214"/>
    <s v="Indonesia Wellsun Plastic"/>
    <m/>
    <s v="Plastic"/>
    <x v="1"/>
    <x v="2"/>
    <d v="2024-11-01T00:00:00"/>
    <m/>
    <n v="0.26597999999999999"/>
    <n v="0.36036000000000001"/>
    <n v="9.4380000000000006E-2"/>
    <m/>
    <n v="1"/>
    <n v="0.26597999999999999"/>
    <n v="9829400"/>
    <n v="143358744"/>
    <n v="23824753.943837203"/>
    <n v="12215961.444703231"/>
    <s v="PCTG 1501"/>
    <s v="Transparent"/>
    <n v="2.09"/>
    <m/>
    <m/>
    <m/>
    <n v="3542122.5840000003"/>
    <m/>
    <n v="20543.446"/>
    <m/>
  </r>
  <r>
    <x v="5"/>
    <s v="RCS POD"/>
    <s v="Cartridge Tube"/>
    <s v="130010390000214"/>
    <s v="Indonesia Wellsun Plastic"/>
    <m/>
    <s v="Plastic"/>
    <x v="1"/>
    <x v="3"/>
    <d v="2024-11-01T00:00:00"/>
    <m/>
    <n v="0.26597999999999999"/>
    <n v="0.36036000000000001"/>
    <n v="9.4380000000000006E-2"/>
    <m/>
    <n v="1"/>
    <n v="0.26597999999999999"/>
    <n v="12719023"/>
    <n v="133529344"/>
    <n v="23824753.943837203"/>
    <n v="13142945.916124454"/>
    <s v="PCTG 1501"/>
    <s v="Transparent"/>
    <n v="2.09"/>
    <m/>
    <m/>
    <m/>
    <n v="4583427.1282799998"/>
    <m/>
    <n v="26582.758069999996"/>
    <m/>
  </r>
  <r>
    <x v="5"/>
    <s v="RCS POD"/>
    <s v="Cartridge Tube"/>
    <s v="130010390000214"/>
    <s v="Indonesia Wellsun Plastic"/>
    <m/>
    <s v="Plastic"/>
    <x v="1"/>
    <x v="4"/>
    <d v="2024-11-01T00:00:00"/>
    <m/>
    <n v="0.26597999999999999"/>
    <n v="0.36036000000000001"/>
    <n v="9.4380000000000006E-2"/>
    <m/>
    <n v="1"/>
    <n v="0.26597999999999999"/>
    <n v="8746500"/>
    <n v="120810321"/>
    <n v="23824753.943837203"/>
    <n v="14342443.017946472"/>
    <s v="PCTG 1501"/>
    <s v="Transparent"/>
    <n v="2.09"/>
    <m/>
    <m/>
    <m/>
    <n v="3151888.74"/>
    <m/>
    <n v="18280.185000000001"/>
    <m/>
  </r>
  <r>
    <x v="5"/>
    <s v="RCS POD"/>
    <s v="Cartridge Tube"/>
    <s v="130010390000214"/>
    <s v="Indonesia Wellsun Plastic"/>
    <m/>
    <s v="Plastic"/>
    <x v="1"/>
    <x v="5"/>
    <d v="2024-11-01T00:00:00"/>
    <m/>
    <n v="0.26597999999999999"/>
    <n v="0.36036000000000001"/>
    <n v="9.4380000000000006E-2"/>
    <m/>
    <n v="1"/>
    <n v="0.26597999999999999"/>
    <n v="14479875"/>
    <n v="112063821"/>
    <n v="23824753.943837203"/>
    <n v="15167302.081499282"/>
    <s v="PCTG 1501"/>
    <s v="Transparent"/>
    <n v="2.09"/>
    <m/>
    <m/>
    <m/>
    <n v="5217967.7549999999"/>
    <m/>
    <n v="30262.938749999998"/>
    <m/>
  </r>
  <r>
    <x v="5"/>
    <s v="RCS POD"/>
    <s v="Cartridge Tube"/>
    <s v="130010390000214"/>
    <s v="Indonesia Wellsun Plastic"/>
    <m/>
    <s v="Plastic"/>
    <x v="1"/>
    <x v="6"/>
    <d v="2024-11-01T00:00:00"/>
    <m/>
    <n v="0.26597999999999999"/>
    <n v="0.36036000000000001"/>
    <n v="9.4380000000000006E-2"/>
    <m/>
    <n v="1"/>
    <n v="0.26597999999999999"/>
    <n v="13767000"/>
    <n v="97583946"/>
    <n v="23824753.943837203"/>
    <n v="16532860.434310364"/>
    <s v="PCTG 1501"/>
    <s v="Transparent"/>
    <n v="2.09"/>
    <m/>
    <m/>
    <m/>
    <n v="4961076.12"/>
    <m/>
    <n v="28773.029999999995"/>
    <m/>
  </r>
  <r>
    <x v="5"/>
    <s v="RCS POD"/>
    <s v="Cartridge Tube"/>
    <s v="130010390000214"/>
    <s v="Indonesia Wellsun Plastic"/>
    <m/>
    <s v="Plastic"/>
    <x v="1"/>
    <x v="11"/>
    <d v="2024-11-01T00:00:00"/>
    <m/>
    <n v="0.26597999999999999"/>
    <n v="0.36036000000000001"/>
    <n v="9.4380000000000006E-2"/>
    <m/>
    <n v="1"/>
    <n v="0.26597999999999999"/>
    <n v="13382423"/>
    <n v="83816946"/>
    <n v="23824753.943837203"/>
    <n v="17831189.449108396"/>
    <s v="PCTG 1501"/>
    <s v="Transparent"/>
    <n v="2.09"/>
    <m/>
    <m/>
    <m/>
    <n v="4822489.9522799999"/>
    <m/>
    <n v="27969.264069999997"/>
    <m/>
  </r>
  <r>
    <x v="5"/>
    <s v="RCS POD"/>
    <s v="Cartridge Tube"/>
    <s v="130010390000214"/>
    <s v="Indonesia Wellsun Plastic"/>
    <m/>
    <s v="Plastic"/>
    <x v="1"/>
    <x v="7"/>
    <d v="2024-11-01T00:00:00"/>
    <m/>
    <n v="0.26597999999999999"/>
    <n v="0.36036000000000001"/>
    <n v="9.4380000000000006E-2"/>
    <m/>
    <n v="1"/>
    <n v="0.26597999999999999"/>
    <n v="14634923"/>
    <n v="70434523"/>
    <n v="23824753.943837203"/>
    <n v="19093250.033781998"/>
    <s v="PCTG 1501"/>
    <s v="Transparent"/>
    <n v="2.09"/>
    <m/>
    <m/>
    <m/>
    <n v="5273840.8522800002"/>
    <m/>
    <n v="30586.989069999996"/>
    <m/>
  </r>
  <r>
    <x v="5"/>
    <s v="RCS POD"/>
    <s v="Heating holder"/>
    <s v="130010390000215"/>
    <s v="Indonesia Wellsun Plastic"/>
    <m/>
    <s v="Plastic"/>
    <x v="2"/>
    <x v="11"/>
    <d v="2025-03-06T00:00:00"/>
    <m/>
    <n v="7.9365000000000005E-2"/>
    <n v="0.11869"/>
    <n v="3.9324999999999999E-2"/>
    <m/>
    <n v="1"/>
    <n v="7.9365000000000005E-2"/>
    <n v="16985401"/>
    <n v="352624489"/>
    <n v="9619642.7133265045"/>
    <n v="-3032500.9000000004"/>
    <s v="PCTG 1501"/>
    <s v="Transparent"/>
    <n v="0.5"/>
    <m/>
    <m/>
    <m/>
    <n v="2015997.2446900001"/>
    <m/>
    <n v="8492.7005000000008"/>
    <m/>
  </r>
  <r>
    <x v="5"/>
    <s v="RCS POD"/>
    <s v="Heating holder"/>
    <s v="130010390000215"/>
    <s v="Indonesia Wellsun Plastic"/>
    <m/>
    <s v="Plastic"/>
    <x v="2"/>
    <x v="7"/>
    <d v="2025-02-17T00:00:00"/>
    <m/>
    <n v="7.9365000000000005E-2"/>
    <n v="0.11869"/>
    <n v="3.9324999999999999E-2"/>
    <m/>
    <n v="1"/>
    <n v="7.9365000000000005E-2"/>
    <n v="11375101"/>
    <n v="335639088"/>
    <n v="9619642.7133265045"/>
    <n v="-2367638.0005850005"/>
    <s v="PCTG 1501"/>
    <s v="Transparent"/>
    <n v="0.5"/>
    <m/>
    <m/>
    <m/>
    <n v="1350110.7376900001"/>
    <m/>
    <n v="5687.5505000000003"/>
    <m/>
  </r>
  <r>
    <x v="5"/>
    <s v="RCS POD"/>
    <s v="Heating holder"/>
    <s v="130010390000215"/>
    <s v="Indonesia Wellsun Plastic"/>
    <m/>
    <s v="Plastic"/>
    <x v="0"/>
    <x v="8"/>
    <d v="2025-01-09T00:00:00"/>
    <m/>
    <n v="7.9365000000000005E-2"/>
    <n v="0.11869"/>
    <n v="3.9324999999999999E-2"/>
    <m/>
    <n v="1"/>
    <n v="7.9365000000000005E-2"/>
    <n v="14772734"/>
    <n v="324263987"/>
    <n v="9619642.7133265045"/>
    <n v="-1922384.75"/>
    <s v="PCTG 1501"/>
    <s v="Transparent"/>
    <n v="0.5"/>
    <m/>
    <m/>
    <m/>
    <n v="1753375.79846"/>
    <m/>
    <n v="7386.3670000000002"/>
    <m/>
  </r>
  <r>
    <x v="5"/>
    <s v="RCS POD"/>
    <s v="Heating holder"/>
    <s v="130010390000215"/>
    <s v="Indonesia Wellsun Plastic"/>
    <m/>
    <s v="Plastic"/>
    <x v="0"/>
    <x v="9"/>
    <d v="2024-12-03T00:00:00"/>
    <m/>
    <n v="7.9365000000000005E-2"/>
    <n v="0.11869"/>
    <n v="3.9324999999999999E-2"/>
    <m/>
    <n v="1"/>
    <n v="7.9365000000000005E-2"/>
    <n v="10944000"/>
    <n v="309491253"/>
    <n v="9619642.7133265045"/>
    <n v="-1344133.2147100002"/>
    <s v="PCTG 1501"/>
    <s v="Transparent"/>
    <n v="0.5"/>
    <m/>
    <m/>
    <m/>
    <n v="1298943.3600000001"/>
    <m/>
    <n v="5472"/>
    <m/>
  </r>
  <r>
    <x v="5"/>
    <s v="RCS POD"/>
    <s v="Heating holder"/>
    <s v="130010390000215"/>
    <s v="Indonesia Wellsun Plastic"/>
    <m/>
    <s v="Plastic"/>
    <x v="0"/>
    <x v="10"/>
    <d v="2024-11-05T00:00:00"/>
    <m/>
    <n v="7.9365000000000005E-2"/>
    <n v="0.11869"/>
    <n v="3.9324999999999999E-2"/>
    <m/>
    <n v="1"/>
    <n v="7.9365000000000005E-2"/>
    <n v="11694000"/>
    <n v="298547253"/>
    <n v="9619642.7133265045"/>
    <n v="-915752.18920454558"/>
    <s v="PCTG 1501"/>
    <s v="Transparent"/>
    <n v="0.5"/>
    <m/>
    <m/>
    <m/>
    <n v="1387960.86"/>
    <m/>
    <n v="5847"/>
    <m/>
  </r>
  <r>
    <x v="5"/>
    <s v="RCS POD"/>
    <s v="Heating holder"/>
    <s v="130010390000215"/>
    <s v="Indonesia Wellsun Plastic"/>
    <m/>
    <s v="Plastic"/>
    <x v="0"/>
    <x v="0"/>
    <d v="2024-11-01T00:00:00"/>
    <m/>
    <n v="7.9365000000000005E-2"/>
    <n v="0.11869"/>
    <n v="3.9324999999999999E-2"/>
    <n v="0"/>
    <n v="1"/>
    <n v="7.9365000000000005E-2"/>
    <n v="9592547"/>
    <n v="286853253"/>
    <n v="9619642.7133265045"/>
    <n v="-458013.91121124284"/>
    <s v="PCTG 1501"/>
    <s v="Transparent"/>
    <n v="0.5"/>
    <m/>
    <m/>
    <m/>
    <n v="1138539.4034299999"/>
    <m/>
    <n v="4796.2735000000002"/>
    <m/>
  </r>
  <r>
    <x v="5"/>
    <s v="RCS POD"/>
    <s v="Heating holder"/>
    <s v="130010390000215"/>
    <s v="Indonesia Wellsun Plastic"/>
    <m/>
    <s v="Plastic"/>
    <x v="0"/>
    <x v="1"/>
    <d v="2024-11-01T00:00:00"/>
    <m/>
    <n v="7.9365000000000005E-2"/>
    <n v="0.11869"/>
    <n v="3.9324999999999999E-2"/>
    <m/>
    <n v="1"/>
    <n v="7.9365000000000005E-2"/>
    <n v="9882000"/>
    <n v="277260706"/>
    <n v="9619642.7133265045"/>
    <n v="-82532.814465060961"/>
    <s v="PCTG 1501"/>
    <s v="Transparent"/>
    <n v="0.5"/>
    <m/>
    <m/>
    <m/>
    <n v="1172894.58"/>
    <m/>
    <n v="4941"/>
    <m/>
  </r>
  <r>
    <x v="5"/>
    <s v="RCS POD"/>
    <s v="Heating holder"/>
    <s v="130010390000215"/>
    <s v="Indonesia Wellsun Plastic"/>
    <m/>
    <s v="Plastic"/>
    <x v="0"/>
    <x v="2"/>
    <d v="2024-11-01T00:00:00"/>
    <m/>
    <n v="7.9365000000000005E-2"/>
    <n v="0.11869"/>
    <n v="3.9324999999999999E-2"/>
    <m/>
    <n v="1"/>
    <n v="7.9365000000000005E-2"/>
    <n v="14445489"/>
    <n v="267378706"/>
    <n v="9619642.7133265045"/>
    <n v="304278.3419510363"/>
    <s v="PCTG 1501"/>
    <s v="Transparent"/>
    <n v="0.5"/>
    <m/>
    <m/>
    <m/>
    <n v="1714535.08941"/>
    <m/>
    <n v="7222.7444999999998"/>
    <m/>
  </r>
  <r>
    <x v="5"/>
    <s v="RCS POD"/>
    <s v="Heating holder"/>
    <s v="130010390000215"/>
    <s v="Indonesia Wellsun Plastic"/>
    <m/>
    <s v="Plastic"/>
    <x v="0"/>
    <x v="3"/>
    <d v="2024-11-01T00:00:00"/>
    <m/>
    <n v="7.9365000000000005E-2"/>
    <n v="0.11869"/>
    <n v="3.9324999999999999E-2"/>
    <m/>
    <n v="1"/>
    <n v="7.9365000000000005E-2"/>
    <n v="9990000"/>
    <n v="252933217"/>
    <n v="9619642.7133265045"/>
    <n v="869718.16234023438"/>
    <s v="PCTG 1501"/>
    <s v="Transparent"/>
    <n v="0.5"/>
    <m/>
    <m/>
    <m/>
    <n v="1185713.1000000001"/>
    <m/>
    <n v="4995"/>
    <m/>
  </r>
  <r>
    <x v="5"/>
    <s v="RCS POD"/>
    <s v="Heating holder"/>
    <s v="130010390000215"/>
    <s v="Indonesia Wellsun Plastic"/>
    <m/>
    <s v="Plastic"/>
    <x v="0"/>
    <x v="4"/>
    <d v="2024-11-01T00:00:00"/>
    <m/>
    <n v="7.9365000000000005E-2"/>
    <n v="0.11869"/>
    <n v="3.9324999999999999E-2"/>
    <m/>
    <n v="1"/>
    <n v="7.9365000000000005E-2"/>
    <n v="18052347"/>
    <n v="242943217"/>
    <n v="9619642.7133265045"/>
    <n v="1260756.7630887444"/>
    <s v="PCTG 1501"/>
    <s v="Transparent"/>
    <n v="0.5"/>
    <m/>
    <m/>
    <m/>
    <n v="2142633.06543"/>
    <m/>
    <n v="9026.1735000000008"/>
    <m/>
  </r>
  <r>
    <x v="5"/>
    <s v="RCS POD"/>
    <s v="Heating holder"/>
    <s v="130010390000215"/>
    <s v="Indonesia Wellsun Plastic"/>
    <m/>
    <s v="Plastic"/>
    <x v="0"/>
    <x v="5"/>
    <d v="2024-11-01T00:00:00"/>
    <m/>
    <n v="7.9365000000000005E-2"/>
    <n v="0.11869"/>
    <n v="3.9324999999999999E-2"/>
    <m/>
    <n v="1"/>
    <n v="7.9365000000000005E-2"/>
    <n v="8370000"/>
    <n v="224890870"/>
    <n v="9619642.7133265045"/>
    <n v="1967379.8372735935"/>
    <s v="PCTG 1501"/>
    <s v="Transparent"/>
    <n v="0.5"/>
    <m/>
    <m/>
    <m/>
    <n v="993435.3"/>
    <m/>
    <n v="4185"/>
    <m/>
  </r>
  <r>
    <x v="5"/>
    <s v="RCS POD"/>
    <s v="Heating holder"/>
    <s v="130010390000215"/>
    <s v="Indonesia Wellsun Plastic"/>
    <m/>
    <s v="Plastic"/>
    <x v="0"/>
    <x v="6"/>
    <d v="2024-11-01T00:00:00"/>
    <m/>
    <n v="7.9365000000000005E-2"/>
    <n v="0.11869"/>
    <n v="3.9324999999999999E-2"/>
    <m/>
    <n v="1"/>
    <n v="7.9365000000000005E-2"/>
    <n v="12618000"/>
    <n v="216520870"/>
    <n v="9619642.7133265045"/>
    <n v="2295006.7730358625"/>
    <s v="PCTG 1501"/>
    <s v="Transparent"/>
    <n v="0.5"/>
    <m/>
    <m/>
    <m/>
    <n v="1497630.4200000002"/>
    <m/>
    <n v="6309"/>
    <m/>
  </r>
  <r>
    <x v="5"/>
    <s v="RCS POD"/>
    <s v="Heating holder"/>
    <s v="130010390000215"/>
    <s v="Indonesia Wellsun Plastic"/>
    <m/>
    <s v="Plastic"/>
    <x v="0"/>
    <x v="11"/>
    <d v="2024-11-01T00:00:00"/>
    <m/>
    <n v="7.9365000000000005E-2"/>
    <n v="0.11869"/>
    <n v="3.9324999999999999E-2"/>
    <m/>
    <n v="1"/>
    <n v="7.9365000000000005E-2"/>
    <n v="11873211"/>
    <n v="203902870"/>
    <n v="9619642.7133265045"/>
    <n v="2788913.1858731718"/>
    <s v="PCTG 1501"/>
    <s v="Transparent"/>
    <n v="0.5"/>
    <m/>
    <m/>
    <m/>
    <n v="1409231.41359"/>
    <m/>
    <n v="5936.6054999999997"/>
    <m/>
  </r>
  <r>
    <x v="5"/>
    <s v="RCS POD"/>
    <s v="Heating holder"/>
    <s v="130010390000215"/>
    <s v="Indonesia Wellsun Plastic"/>
    <m/>
    <s v="Plastic"/>
    <x v="0"/>
    <x v="7"/>
    <d v="2024-11-01T00:00:00"/>
    <m/>
    <n v="7.9365000000000005E-2"/>
    <n v="0.11869"/>
    <n v="3.9324999999999999E-2"/>
    <m/>
    <n v="1"/>
    <n v="7.9365000000000005E-2"/>
    <n v="12204000"/>
    <n v="192029659"/>
    <n v="9619642.7133265045"/>
    <n v="3253666.3205910795"/>
    <s v="PCTG 1501"/>
    <s v="Transparent"/>
    <n v="0.5"/>
    <m/>
    <m/>
    <m/>
    <n v="1448492.76"/>
    <m/>
    <n v="6102"/>
    <m/>
  </r>
  <r>
    <x v="5"/>
    <s v="RCS POD"/>
    <s v="Heating holder"/>
    <s v="130010390000215"/>
    <s v="Indonesia Wellsun Plastic"/>
    <m/>
    <s v="Plastic"/>
    <x v="1"/>
    <x v="8"/>
    <d v="2024-11-01T00:00:00"/>
    <m/>
    <n v="7.9365000000000005E-2"/>
    <n v="0.11869"/>
    <n v="3.9324999999999999E-2"/>
    <m/>
    <n v="1"/>
    <n v="7.9365000000000005E-2"/>
    <n v="10115104"/>
    <n v="179825659"/>
    <n v="9619642.7133265045"/>
    <n v="3731367.5301541286"/>
    <s v="PCTG 1501"/>
    <s v="Transparent"/>
    <n v="0.5"/>
    <m/>
    <m/>
    <m/>
    <n v="1200561.6937599999"/>
    <m/>
    <n v="5057.5519999999997"/>
    <m/>
  </r>
  <r>
    <x v="5"/>
    <s v="RCS POD"/>
    <s v="Heating holder"/>
    <s v="130010390000215"/>
    <s v="Indonesia Wellsun Plastic"/>
    <m/>
    <s v="Plastic"/>
    <x v="1"/>
    <x v="9"/>
    <d v="2024-11-01T00:00:00"/>
    <m/>
    <n v="7.9365000000000005E-2"/>
    <n v="0.11869"/>
    <n v="3.9324999999999999E-2"/>
    <m/>
    <n v="1"/>
    <n v="7.9365000000000005E-2"/>
    <n v="8100000"/>
    <n v="169710555"/>
    <n v="9619642.7133265045"/>
    <n v="4127303.0771597056"/>
    <s v="PCTG 1501"/>
    <s v="Transparent"/>
    <n v="0.5"/>
    <m/>
    <m/>
    <m/>
    <n v="961389"/>
    <m/>
    <n v="4050"/>
    <m/>
  </r>
  <r>
    <x v="5"/>
    <s v="RCS POD"/>
    <s v="Heating holder"/>
    <s v="130010390000215"/>
    <s v="Indonesia Wellsun Plastic"/>
    <m/>
    <s v="Plastic"/>
    <x v="1"/>
    <x v="10"/>
    <d v="2024-11-01T00:00:00"/>
    <m/>
    <n v="7.9365000000000005E-2"/>
    <n v="0.11869"/>
    <n v="3.9324999999999999E-2"/>
    <m/>
    <n v="1"/>
    <n v="7.9365000000000005E-2"/>
    <n v="5130000"/>
    <n v="161610555"/>
    <n v="9619642.7133265045"/>
    <n v="4444361.4020909322"/>
    <s v="PCTG 1501"/>
    <s v="Transparent"/>
    <n v="0.5"/>
    <m/>
    <m/>
    <m/>
    <n v="608879.70000000007"/>
    <m/>
    <n v="2565"/>
    <m/>
  </r>
  <r>
    <x v="5"/>
    <s v="RCS POD"/>
    <s v="Heating holder"/>
    <s v="130010390000215"/>
    <s v="Indonesia Wellsun Plastic"/>
    <m/>
    <s v="Plastic"/>
    <x v="1"/>
    <x v="0"/>
    <d v="2024-11-01T00:00:00"/>
    <m/>
    <n v="7.9365000000000005E-2"/>
    <n v="0.11869"/>
    <n v="3.9324999999999999E-2"/>
    <m/>
    <n v="1"/>
    <n v="7.9365000000000005E-2"/>
    <n v="4853211"/>
    <n v="156480555"/>
    <n v="9619642.7133265045"/>
    <n v="4645165.0078807045"/>
    <s v="PCTG 1501"/>
    <s v="Transparent"/>
    <n v="0.5"/>
    <m/>
    <m/>
    <m/>
    <n v="576027.61358999996"/>
    <m/>
    <n v="2426.6055000000001"/>
    <m/>
  </r>
  <r>
    <x v="5"/>
    <s v="RCS POD"/>
    <s v="Heating holder"/>
    <s v="130010390000215"/>
    <s v="Indonesia Wellsun Plastic"/>
    <m/>
    <s v="Plastic"/>
    <x v="1"/>
    <x v="1"/>
    <d v="2024-11-01T00:00:00"/>
    <m/>
    <n v="7.9365000000000005E-2"/>
    <n v="0.11869"/>
    <n v="3.9324999999999999E-2"/>
    <m/>
    <n v="1"/>
    <n v="7.9365000000000005E-2"/>
    <n v="8370000"/>
    <n v="151627344"/>
    <n v="9619642.7133265045"/>
    <n v="4835134.2609915491"/>
    <s v="PCTG 1501"/>
    <s v="Transparent"/>
    <n v="0.5"/>
    <m/>
    <m/>
    <m/>
    <n v="993435.3"/>
    <m/>
    <n v="4185"/>
    <m/>
  </r>
  <r>
    <x v="5"/>
    <s v="RCS POD"/>
    <s v="Heating holder"/>
    <s v="130010390000215"/>
    <s v="Indonesia Wellsun Plastic"/>
    <m/>
    <s v="Plastic"/>
    <x v="1"/>
    <x v="2"/>
    <d v="2024-11-01T00:00:00"/>
    <m/>
    <n v="7.9365000000000005E-2"/>
    <n v="0.11869"/>
    <n v="3.9324999999999999E-2"/>
    <m/>
    <n v="1"/>
    <n v="7.9365000000000005E-2"/>
    <n v="9900000"/>
    <n v="143257344"/>
    <n v="9619642.7133265045"/>
    <n v="5162761.1967538176"/>
    <s v="PCTG 1501"/>
    <s v="Transparent"/>
    <n v="0.5"/>
    <m/>
    <m/>
    <m/>
    <n v="1175031"/>
    <m/>
    <n v="4950"/>
    <m/>
  </r>
  <r>
    <x v="5"/>
    <s v="RCS POD"/>
    <s v="Heating holder"/>
    <s v="130010390000215"/>
    <s v="Indonesia Wellsun Plastic"/>
    <m/>
    <s v="Plastic"/>
    <x v="1"/>
    <x v="3"/>
    <d v="2024-11-01T00:00:00"/>
    <m/>
    <n v="7.9365000000000005E-2"/>
    <n v="0.11869"/>
    <n v="3.9324999999999999E-2"/>
    <m/>
    <n v="1"/>
    <n v="7.9365000000000005E-2"/>
    <n v="12563523"/>
    <n v="133357344"/>
    <n v="9619642.7133265045"/>
    <n v="5550276.9272253159"/>
    <s v="PCTG 1501"/>
    <s v="Transparent"/>
    <n v="0.5"/>
    <m/>
    <m/>
    <m/>
    <n v="1491164.5448700001"/>
    <m/>
    <n v="6281.7614999999996"/>
    <m/>
  </r>
  <r>
    <x v="5"/>
    <s v="RCS POD"/>
    <s v="Heating holder"/>
    <s v="130010390000215"/>
    <s v="Indonesia Wellsun Plastic"/>
    <m/>
    <s v="Plastic"/>
    <x v="1"/>
    <x v="4"/>
    <d v="2024-11-01T00:00:00"/>
    <m/>
    <n v="7.9365000000000005E-2"/>
    <n v="0.11869"/>
    <n v="3.9324999999999999E-2"/>
    <m/>
    <n v="1"/>
    <n v="7.9365000000000005E-2"/>
    <n v="8747523"/>
    <n v="120793821"/>
    <n v="9619642.7133265045"/>
    <n v="6042050.9466839526"/>
    <s v="PCTG 1501"/>
    <s v="Transparent"/>
    <n v="0.5"/>
    <m/>
    <m/>
    <m/>
    <n v="1038243.5048700001"/>
    <m/>
    <n v="4373.7614999999996"/>
    <m/>
  </r>
  <r>
    <x v="5"/>
    <s v="RCS POD"/>
    <s v="Heating holder"/>
    <s v="130010390000215"/>
    <s v="Indonesia Wellsun Plastic"/>
    <m/>
    <s v="Plastic"/>
    <x v="1"/>
    <x v="5"/>
    <d v="2024-11-01T00:00:00"/>
    <m/>
    <n v="7.9365000000000005E-2"/>
    <n v="0.11869"/>
    <n v="3.9324999999999999E-2"/>
    <m/>
    <n v="1"/>
    <n v="7.9365000000000005E-2"/>
    <n v="14445252"/>
    <n v="112046298"/>
    <n v="9619642.7133265045"/>
    <n v="6384455.266397208"/>
    <s v="PCTG 1501"/>
    <s v="Transparent"/>
    <n v="0.5"/>
    <m/>
    <m/>
    <m/>
    <n v="1714506.95988"/>
    <m/>
    <n v="7222.6260000000002"/>
    <m/>
  </r>
  <r>
    <x v="5"/>
    <s v="RCS POD"/>
    <s v="Heating holder"/>
    <s v="130010390000215"/>
    <s v="Indonesia Wellsun Plastic"/>
    <m/>
    <s v="Plastic"/>
    <x v="1"/>
    <x v="6"/>
    <d v="2024-11-01T00:00:00"/>
    <m/>
    <n v="7.9365000000000005E-2"/>
    <n v="0.11869"/>
    <n v="3.9324999999999999E-2"/>
    <m/>
    <n v="1"/>
    <n v="7.9365000000000005E-2"/>
    <n v="13700000"/>
    <n v="97601046"/>
    <n v="9619642.7133265045"/>
    <n v="6949885.8098946773"/>
    <s v="PCTG 1501"/>
    <s v="Transparent"/>
    <n v="0.5"/>
    <m/>
    <m/>
    <m/>
    <n v="1626053"/>
    <m/>
    <n v="6850"/>
    <m/>
  </r>
  <r>
    <x v="5"/>
    <s v="RCS POD"/>
    <s v="Heating holder"/>
    <s v="130010390000215"/>
    <s v="Indonesia Wellsun Plastic"/>
    <m/>
    <s v="Plastic"/>
    <x v="1"/>
    <x v="11"/>
    <d v="2024-11-01T00:00:00"/>
    <m/>
    <n v="7.9365000000000005E-2"/>
    <n v="0.11869"/>
    <n v="3.9324999999999999E-2"/>
    <m/>
    <n v="1"/>
    <n v="7.9365000000000005E-2"/>
    <n v="13373523"/>
    <n v="83901046"/>
    <n v="9619642.7133265045"/>
    <n v="7486144.9520622771"/>
    <s v="PCTG 1501"/>
    <s v="Transparent"/>
    <n v="0.5"/>
    <m/>
    <m/>
    <m/>
    <n v="1587303.44487"/>
    <m/>
    <n v="6686.7614999999996"/>
    <m/>
  </r>
  <r>
    <x v="5"/>
    <s v="RCS POD"/>
    <s v="Heating holder"/>
    <s v="130010390000215"/>
    <s v="Indonesia Wellsun Plastic"/>
    <m/>
    <s v="Plastic"/>
    <x v="1"/>
    <x v="7"/>
    <d v="2024-11-01T00:00:00"/>
    <m/>
    <n v="7.9365000000000005E-2"/>
    <n v="0.11869"/>
    <n v="3.9324999999999999E-2"/>
    <m/>
    <n v="1"/>
    <n v="7.9365000000000005E-2"/>
    <n v="14543523"/>
    <n v="70527523"/>
    <n v="9619642.7133265045"/>
    <n v="8009624.8040140476"/>
    <s v="PCTG 1501"/>
    <s v="Transparent"/>
    <n v="0.5"/>
    <m/>
    <m/>
    <m/>
    <n v="1726170.7448700001"/>
    <m/>
    <n v="7271.7614999999996"/>
    <m/>
  </r>
  <r>
    <x v="5"/>
    <s v="RCS POD"/>
    <s v="Cartomizer Holder Tap"/>
    <s v="130010390000216"/>
    <s v="Indonesia Wellsun Plastic"/>
    <m/>
    <s v="Plastic"/>
    <x v="2"/>
    <x v="11"/>
    <d v="2025-03-06T00:00:00"/>
    <m/>
    <n v="0.100815"/>
    <n v="0.12012"/>
    <n v="1.9305000000000003E-2"/>
    <m/>
    <n v="1"/>
    <n v="0.100815"/>
    <n v="16740000"/>
    <n v="346829142"/>
    <n v="5241660.7692307718"/>
    <n v="-1540732.05"/>
    <s v="PC2456"/>
    <s v="Black"/>
    <n v="0.85"/>
    <m/>
    <m/>
    <m/>
    <n v="2010808.8"/>
    <m/>
    <n v="14229"/>
    <m/>
  </r>
  <r>
    <x v="5"/>
    <s v="RCS POD"/>
    <s v="Cartomizer Holder Tap"/>
    <s v="130010390000216"/>
    <s v="Indonesia Wellsun Plastic"/>
    <m/>
    <s v="Plastic"/>
    <x v="2"/>
    <x v="7"/>
    <d v="2025-02-17T00:00:00"/>
    <m/>
    <n v="0.100815"/>
    <n v="0.12012"/>
    <n v="1.9305000000000003E-2"/>
    <m/>
    <n v="1"/>
    <n v="0.100815"/>
    <n v="10848000"/>
    <n v="330089142"/>
    <n v="5241660.7692307718"/>
    <n v="-1213373.2596700001"/>
    <s v="PC2456"/>
    <s v="Black"/>
    <n v="0.85"/>
    <m/>
    <m/>
    <m/>
    <n v="1303061.76"/>
    <m/>
    <n v="9220.7999999999993"/>
    <m/>
  </r>
  <r>
    <x v="5"/>
    <s v="RCS POD"/>
    <s v="Cartomizer Holder Tap"/>
    <s v="130010390000216"/>
    <s v="Indonesia Wellsun Plastic"/>
    <m/>
    <s v="Plastic"/>
    <x v="0"/>
    <x v="8"/>
    <d v="2025-01-09T00:00:00"/>
    <m/>
    <n v="0.100815"/>
    <n v="0.12012"/>
    <n v="1.9305000000000003E-2"/>
    <m/>
    <n v="1"/>
    <n v="0.100815"/>
    <n v="14856000"/>
    <n v="319241142"/>
    <n v="5241660.7692307718"/>
    <n v="-1001235.9500000001"/>
    <s v="PC2456"/>
    <s v="Black"/>
    <n v="0.85"/>
    <m/>
    <m/>
    <m/>
    <n v="1784502.72"/>
    <m/>
    <n v="12627.6"/>
    <m/>
  </r>
  <r>
    <x v="5"/>
    <s v="RCS POD"/>
    <s v="Cartomizer Holder Tap"/>
    <s v="130010390000216"/>
    <s v="Indonesia Wellsun Plastic"/>
    <m/>
    <s v="Plastic"/>
    <x v="0"/>
    <x v="9"/>
    <d v="2024-12-03T00:00:00"/>
    <m/>
    <n v="0.100815"/>
    <n v="0.12012"/>
    <n v="1.9305000000000003E-2"/>
    <m/>
    <n v="1"/>
    <n v="0.100815"/>
    <n v="10640600"/>
    <n v="304385142"/>
    <n v="5241660.7692307718"/>
    <n v="-710720.57113200007"/>
    <s v="PC2456"/>
    <s v="Black"/>
    <n v="0.85"/>
    <m/>
    <m/>
    <m/>
    <n v="1278148.872"/>
    <m/>
    <n v="9044.51"/>
    <m/>
  </r>
  <r>
    <x v="5"/>
    <s v="RCS POD"/>
    <s v="Cartomizer Holder Tap"/>
    <s v="130010390000216"/>
    <s v="Indonesia Wellsun Plastic"/>
    <m/>
    <s v="Plastic"/>
    <x v="0"/>
    <x v="10"/>
    <d v="2024-11-05T00:00:00"/>
    <m/>
    <n v="0.100815"/>
    <n v="0.12012"/>
    <n v="1.9305000000000003E-2"/>
    <m/>
    <n v="1"/>
    <n v="0.100815"/>
    <n v="11304000"/>
    <n v="293744542"/>
    <n v="5241660.7692307718"/>
    <n v="-502639.09749854304"/>
    <s v="PC2456"/>
    <s v="Black"/>
    <n v="0.85"/>
    <m/>
    <m/>
    <m/>
    <n v="1357836.48"/>
    <m/>
    <n v="9608.4"/>
    <m/>
  </r>
  <r>
    <x v="5"/>
    <s v="RCS POD"/>
    <s v="Cartomizer Holder Tap"/>
    <s v="130010390000216"/>
    <s v="Indonesia Wellsun Plastic"/>
    <m/>
    <s v="Plastic"/>
    <x v="0"/>
    <x v="0"/>
    <d v="2024-11-01T00:00:00"/>
    <m/>
    <n v="0.100815"/>
    <n v="0.12012"/>
    <n v="1.9305000000000003E-2"/>
    <n v="0"/>
    <n v="1"/>
    <n v="0.100815"/>
    <n v="8880000"/>
    <n v="282440542"/>
    <n v="5241660.7692307718"/>
    <n v="-281584.55380762351"/>
    <s v="PC2456"/>
    <s v="Black"/>
    <n v="0.85"/>
    <m/>
    <m/>
    <m/>
    <n v="1066665.6000000001"/>
    <m/>
    <n v="7548"/>
    <m/>
  </r>
  <r>
    <x v="5"/>
    <s v="RCS POD"/>
    <s v="Cartomizer Holder Tap"/>
    <s v="130010390000216"/>
    <s v="Indonesia Wellsun Plastic"/>
    <m/>
    <s v="Plastic"/>
    <x v="0"/>
    <x v="1"/>
    <d v="2024-11-01T00:00:00"/>
    <m/>
    <n v="0.100815"/>
    <n v="0.12012"/>
    <n v="1.9305000000000003E-2"/>
    <m/>
    <n v="1"/>
    <n v="0.100815"/>
    <n v="10260000"/>
    <n v="273560542"/>
    <n v="5241660.7692307718"/>
    <n v="-107932.36449628562"/>
    <s v="PC2456"/>
    <s v="Black"/>
    <n v="0.85"/>
    <m/>
    <m/>
    <m/>
    <n v="1232431.2"/>
    <m/>
    <n v="8721"/>
    <m/>
  </r>
  <r>
    <x v="5"/>
    <s v="RCS POD"/>
    <s v="Cartomizer Holder Tap"/>
    <s v="130010390000216"/>
    <s v="Indonesia Wellsun Plastic"/>
    <m/>
    <s v="Plastic"/>
    <x v="0"/>
    <x v="2"/>
    <d v="2024-11-01T00:00:00"/>
    <m/>
    <n v="0.100815"/>
    <n v="0.12012"/>
    <n v="1.9305000000000003E-2"/>
    <m/>
    <n v="1"/>
    <n v="0.100815"/>
    <n v="14100000"/>
    <n v="263300542"/>
    <n v="5241660.7692307718"/>
    <n v="92706.313694517376"/>
    <s v="PC2456"/>
    <s v="Black"/>
    <n v="0.85"/>
    <m/>
    <m/>
    <m/>
    <n v="1693692"/>
    <m/>
    <n v="11985"/>
    <m/>
  </r>
  <r>
    <x v="5"/>
    <s v="RCS POD"/>
    <s v="Cartomizer Holder Tap"/>
    <s v="130010390000216"/>
    <s v="Indonesia Wellsun Plastic"/>
    <m/>
    <s v="Plastic"/>
    <x v="0"/>
    <x v="3"/>
    <d v="2024-11-01T00:00:00"/>
    <m/>
    <n v="0.100815"/>
    <n v="0.12012"/>
    <n v="1.9305000000000003E-2"/>
    <m/>
    <n v="1"/>
    <n v="0.100815"/>
    <n v="7980000"/>
    <n v="249200542"/>
    <n v="5241660.7692307718"/>
    <n v="368437.83050643926"/>
    <s v="PC2456"/>
    <s v="Black"/>
    <n v="0.85"/>
    <m/>
    <m/>
    <m/>
    <n v="958557.60000000009"/>
    <m/>
    <n v="6783"/>
    <m/>
  </r>
  <r>
    <x v="5"/>
    <s v="RCS POD"/>
    <s v="Cartomizer Holder Tap"/>
    <s v="130010390000216"/>
    <s v="Indonesia Wellsun Plastic"/>
    <m/>
    <s v="Plastic"/>
    <x v="0"/>
    <x v="4"/>
    <d v="2024-11-01T00:00:00"/>
    <m/>
    <n v="0.100815"/>
    <n v="0.12012"/>
    <n v="1.9305000000000003E-2"/>
    <m/>
    <n v="1"/>
    <n v="0.100815"/>
    <n v="19500000"/>
    <n v="241220542"/>
    <n v="5241660.7692307718"/>
    <n v="524490.13576595217"/>
    <s v="PC2456"/>
    <s v="Black"/>
    <n v="0.85"/>
    <m/>
    <m/>
    <m/>
    <n v="2342340"/>
    <m/>
    <n v="16575"/>
    <m/>
  </r>
  <r>
    <x v="5"/>
    <s v="RCS POD"/>
    <s v="Cartomizer Holder Tap"/>
    <s v="130010390000216"/>
    <s v="Indonesia Wellsun Plastic"/>
    <m/>
    <s v="Plastic"/>
    <x v="0"/>
    <x v="5"/>
    <d v="2024-11-01T00:00:00"/>
    <m/>
    <n v="0.100815"/>
    <n v="0.12012"/>
    <n v="1.9305000000000003E-2"/>
    <m/>
    <n v="1"/>
    <n v="0.100815"/>
    <n v="7560000"/>
    <n v="221720542"/>
    <n v="5241660.7692307718"/>
    <n v="905820.95688881946"/>
    <s v="PC2456"/>
    <s v="Black"/>
    <n v="0.85"/>
    <m/>
    <m/>
    <m/>
    <n v="908107.20000000007"/>
    <m/>
    <n v="6426"/>
    <m/>
  </r>
  <r>
    <x v="5"/>
    <s v="RCS POD"/>
    <s v="Cartomizer Holder Tap"/>
    <s v="130010390000216"/>
    <s v="Indonesia Wellsun Plastic"/>
    <m/>
    <s v="Plastic"/>
    <x v="0"/>
    <x v="6"/>
    <d v="2024-11-01T00:00:00"/>
    <m/>
    <n v="0.100815"/>
    <n v="0.12012"/>
    <n v="1.9305000000000003E-2"/>
    <m/>
    <n v="1"/>
    <n v="0.100815"/>
    <n v="11160000"/>
    <n v="214160542"/>
    <n v="5241660.7692307718"/>
    <n v="1053659.9829241487"/>
    <s v="PC2456"/>
    <s v="Black"/>
    <n v="0.85"/>
    <m/>
    <m/>
    <m/>
    <n v="1340539.2"/>
    <m/>
    <n v="9486"/>
    <m/>
  </r>
  <r>
    <x v="5"/>
    <s v="RCS POD"/>
    <s v="Cartomizer Holder Tap"/>
    <s v="130010390000216"/>
    <s v="Indonesia Wellsun Plastic"/>
    <m/>
    <s v="Plastic"/>
    <x v="0"/>
    <x v="11"/>
    <d v="2024-11-01T00:00:00"/>
    <m/>
    <n v="0.100815"/>
    <n v="0.12012"/>
    <n v="1.9305000000000003E-2"/>
    <m/>
    <n v="1"/>
    <n v="0.100815"/>
    <n v="11820000"/>
    <n v="203000542"/>
    <n v="5241660.7692307718"/>
    <n v="1271898.5451667781"/>
    <s v="PC2456"/>
    <s v="Black"/>
    <n v="0.85"/>
    <m/>
    <m/>
    <m/>
    <n v="1419818.4000000001"/>
    <m/>
    <n v="10047"/>
    <m/>
  </r>
  <r>
    <x v="5"/>
    <s v="RCS POD"/>
    <s v="Cartomizer Holder Tap"/>
    <s v="130010390000216"/>
    <s v="Indonesia Wellsun Plastic"/>
    <m/>
    <s v="Plastic"/>
    <x v="0"/>
    <x v="7"/>
    <d v="2024-11-01T00:00:00"/>
    <m/>
    <n v="0.100815"/>
    <n v="0.12012"/>
    <n v="1.9305000000000003E-2"/>
    <m/>
    <n v="1"/>
    <n v="0.100815"/>
    <n v="12240000"/>
    <n v="191180542"/>
    <n v="5241660.7692307718"/>
    <n v="1503043.6890474078"/>
    <s v="PC2456"/>
    <s v="Black"/>
    <n v="0.85"/>
    <m/>
    <m/>
    <m/>
    <n v="1470268.8"/>
    <m/>
    <n v="10404"/>
    <m/>
  </r>
  <r>
    <x v="5"/>
    <s v="RCS POD"/>
    <s v="Cartomizer Holder Tap"/>
    <s v="130010390000216"/>
    <s v="Indonesia Wellsun Plastic"/>
    <m/>
    <s v="Plastic"/>
    <x v="1"/>
    <x v="8"/>
    <d v="2024-11-01T00:00:00"/>
    <m/>
    <n v="0.100815"/>
    <n v="0.12012"/>
    <n v="1.9305000000000003E-2"/>
    <m/>
    <n v="1"/>
    <n v="0.100815"/>
    <n v="10020000"/>
    <n v="178940542"/>
    <n v="5241660.7692307718"/>
    <n v="1742402.1121522302"/>
    <s v="PC2456"/>
    <s v="Black"/>
    <n v="0.85"/>
    <m/>
    <m/>
    <m/>
    <n v="1203602.4000000001"/>
    <m/>
    <n v="8517"/>
    <m/>
  </r>
  <r>
    <x v="5"/>
    <s v="RCS POD"/>
    <s v="Cartomizer Holder Tap"/>
    <s v="130010390000216"/>
    <s v="Indonesia Wellsun Plastic"/>
    <m/>
    <s v="Plastic"/>
    <x v="1"/>
    <x v="9"/>
    <d v="2024-11-01T00:00:00"/>
    <m/>
    <n v="0.100815"/>
    <n v="0.12012"/>
    <n v="1.9305000000000003E-2"/>
    <m/>
    <n v="1"/>
    <n v="0.100815"/>
    <n v="8160000"/>
    <n v="168920542"/>
    <n v="5241660.7692307718"/>
    <n v="1938347.4879292096"/>
    <s v="PC2456"/>
    <s v="Black"/>
    <n v="0.85"/>
    <m/>
    <m/>
    <m/>
    <n v="980179.20000000007"/>
    <m/>
    <n v="6936"/>
    <m/>
  </r>
  <r>
    <x v="5"/>
    <s v="RCS POD"/>
    <s v="Cartomizer Holder Tap"/>
    <s v="130010390000216"/>
    <s v="Indonesia Wellsun Plastic"/>
    <m/>
    <s v="Plastic"/>
    <x v="1"/>
    <x v="10"/>
    <d v="2024-11-01T00:00:00"/>
    <m/>
    <n v="0.100815"/>
    <n v="0.12012"/>
    <n v="1.9305000000000003E-2"/>
    <m/>
    <n v="1"/>
    <n v="0.100815"/>
    <n v="5220000"/>
    <n v="160760542"/>
    <n v="5241660.7692307718"/>
    <n v="2097919.7699990892"/>
    <s v="PC2456"/>
    <s v="Black"/>
    <n v="0.85"/>
    <m/>
    <m/>
    <m/>
    <n v="627026.4"/>
    <m/>
    <n v="4437"/>
    <m/>
  </r>
  <r>
    <x v="5"/>
    <s v="RCS POD"/>
    <s v="Cartomizer Holder Tap"/>
    <s v="130010390000216"/>
    <s v="Indonesia Wellsun Plastic"/>
    <m/>
    <s v="Plastic"/>
    <x v="1"/>
    <x v="0"/>
    <d v="2024-11-01T00:00:00"/>
    <m/>
    <n v="0.100815"/>
    <n v="0.12012"/>
    <n v="1.9305000000000003E-2"/>
    <m/>
    <n v="1"/>
    <n v="0.100815"/>
    <n v="4800000"/>
    <n v="155540542"/>
    <n v="5241660.7692307718"/>
    <n v="2199999.0974996747"/>
    <s v="PC2456"/>
    <s v="Black"/>
    <n v="0.85"/>
    <m/>
    <m/>
    <m/>
    <n v="576576"/>
    <m/>
    <n v="4080"/>
    <m/>
  </r>
  <r>
    <x v="5"/>
    <s v="RCS POD"/>
    <s v="Cartomizer Holder Tap"/>
    <s v="130010390000216"/>
    <s v="Indonesia Wellsun Plastic"/>
    <m/>
    <s v="Plastic"/>
    <x v="1"/>
    <x v="1"/>
    <d v="2024-11-01T00:00:00"/>
    <m/>
    <n v="0.100815"/>
    <n v="0.12012"/>
    <n v="1.9305000000000003E-2"/>
    <m/>
    <n v="1"/>
    <n v="0.100815"/>
    <n v="8340000"/>
    <n v="150740542"/>
    <n v="5241660.7692307718"/>
    <n v="2293865.1457760758"/>
    <s v="PC2456"/>
    <s v="Black"/>
    <n v="0.85"/>
    <m/>
    <m/>
    <m/>
    <n v="1001800.8"/>
    <m/>
    <n v="7089"/>
    <m/>
  </r>
  <r>
    <x v="5"/>
    <s v="RCS POD"/>
    <s v="Cartomizer Holder Tap"/>
    <s v="130010390000216"/>
    <s v="Indonesia Wellsun Plastic"/>
    <m/>
    <s v="Plastic"/>
    <x v="1"/>
    <x v="2"/>
    <d v="2024-11-01T00:00:00"/>
    <m/>
    <n v="0.100815"/>
    <n v="0.12012"/>
    <n v="1.9305000000000003E-2"/>
    <m/>
    <n v="1"/>
    <n v="0.100815"/>
    <n v="9540000"/>
    <n v="142400542"/>
    <n v="5241660.7692307718"/>
    <n v="2456957.4046563115"/>
    <s v="PC2456"/>
    <s v="Black"/>
    <n v="0.85"/>
    <m/>
    <m/>
    <m/>
    <n v="1145944.8"/>
    <m/>
    <n v="8109"/>
    <m/>
  </r>
  <r>
    <x v="5"/>
    <s v="RCS POD"/>
    <s v="Cartomizer Holder Tap"/>
    <s v="130010390000216"/>
    <s v="Indonesia Wellsun Plastic"/>
    <m/>
    <s v="Plastic"/>
    <x v="1"/>
    <x v="3"/>
    <d v="2024-11-01T00:00:00"/>
    <m/>
    <n v="0.100815"/>
    <n v="0.12012"/>
    <n v="1.9305000000000003E-2"/>
    <m/>
    <n v="1"/>
    <n v="0.100815"/>
    <n v="12420000"/>
    <n v="132860542"/>
    <n v="5241660.7692307718"/>
    <n v="2643516.1756056556"/>
    <s v="PC2456"/>
    <s v="Black"/>
    <n v="0.85"/>
    <m/>
    <m/>
    <m/>
    <n v="1491890.4000000001"/>
    <m/>
    <n v="10557"/>
    <m/>
  </r>
  <r>
    <x v="5"/>
    <s v="RCS POD"/>
    <s v="Cartomizer Holder Tap"/>
    <s v="130010390000216"/>
    <s v="Indonesia Wellsun Plastic"/>
    <m/>
    <s v="Plastic"/>
    <x v="1"/>
    <x v="4"/>
    <d v="2024-11-01T00:00:00"/>
    <m/>
    <n v="0.100815"/>
    <n v="0.12012"/>
    <n v="1.9305000000000003E-2"/>
    <m/>
    <n v="1"/>
    <n v="0.100815"/>
    <n v="8460000"/>
    <n v="120440542"/>
    <n v="5241660.7692307718"/>
    <n v="2886394.5755208423"/>
    <s v="PC2456"/>
    <s v="Black"/>
    <n v="0.85"/>
    <m/>
    <m/>
    <m/>
    <n v="1016215.2000000001"/>
    <m/>
    <n v="7191"/>
    <m/>
  </r>
  <r>
    <x v="5"/>
    <s v="RCS POD"/>
    <s v="Cartomizer Holder Tap"/>
    <s v="130010390000216"/>
    <s v="Indonesia Wellsun Plastic"/>
    <m/>
    <s v="Plastic"/>
    <x v="1"/>
    <x v="5"/>
    <d v="2024-11-01T00:00:00"/>
    <m/>
    <n v="0.100815"/>
    <n v="0.12012"/>
    <n v="1.9305000000000003E-2"/>
    <m/>
    <n v="1"/>
    <n v="0.100815"/>
    <n v="14609000"/>
    <n v="111980542"/>
    <n v="5241660.7692307718"/>
    <n v="3051833.4856079929"/>
    <s v="PC2456"/>
    <s v="Black"/>
    <n v="0.85"/>
    <m/>
    <m/>
    <m/>
    <n v="1754833.08"/>
    <m/>
    <n v="12417.65"/>
    <m/>
  </r>
  <r>
    <x v="5"/>
    <s v="RCS POD"/>
    <s v="Cartomizer Holder Tap"/>
    <s v="130010390000216"/>
    <s v="Indonesia Wellsun Plastic"/>
    <m/>
    <s v="Plastic"/>
    <x v="1"/>
    <x v="6"/>
    <d v="2024-11-01T00:00:00"/>
    <m/>
    <n v="0.100815"/>
    <n v="0.12012"/>
    <n v="1.9305000000000003E-2"/>
    <m/>
    <n v="1"/>
    <n v="0.100815"/>
    <n v="13522000"/>
    <n v="97371542"/>
    <n v="5241660.7692307718"/>
    <n v="3337518.7146225572"/>
    <s v="PC2456"/>
    <s v="Black"/>
    <n v="0.85"/>
    <m/>
    <m/>
    <m/>
    <n v="1624262.6400000001"/>
    <m/>
    <n v="11493.7"/>
    <m/>
  </r>
  <r>
    <x v="5"/>
    <s v="RCS POD"/>
    <s v="Cartomizer Holder Tap"/>
    <s v="130010390000216"/>
    <s v="Indonesia Wellsun Plastic"/>
    <m/>
    <s v="Plastic"/>
    <x v="1"/>
    <x v="11"/>
    <d v="2024-11-01T00:00:00"/>
    <m/>
    <n v="0.100815"/>
    <n v="0.12012"/>
    <n v="1.9305000000000003E-2"/>
    <m/>
    <n v="1"/>
    <n v="0.100815"/>
    <n v="13380000"/>
    <n v="83849542"/>
    <n v="5241660.7692307718"/>
    <n v="3601947.1947878636"/>
    <s v="PC2456"/>
    <s v="Black"/>
    <n v="0.85"/>
    <m/>
    <m/>
    <m/>
    <n v="1607205.6"/>
    <m/>
    <n v="11373"/>
    <m/>
  </r>
  <r>
    <x v="5"/>
    <s v="RCS POD"/>
    <s v="Cartomizer Holder Tap"/>
    <s v="130010390000216"/>
    <s v="Indonesia Wellsun Plastic"/>
    <m/>
    <s v="Plastic"/>
    <x v="1"/>
    <x v="7"/>
    <d v="2024-11-01T00:00:00"/>
    <m/>
    <n v="0.100815"/>
    <n v="0.12012"/>
    <n v="1.9305000000000003E-2"/>
    <m/>
    <n v="1"/>
    <n v="0.100815"/>
    <n v="14678000"/>
    <n v="70469542"/>
    <n v="5241660.7692307718"/>
    <n v="3863598.8043583287"/>
    <s v="PC2456"/>
    <s v="Black"/>
    <n v="0.85"/>
    <m/>
    <m/>
    <m/>
    <n v="1763121.36"/>
    <m/>
    <n v="12476.3"/>
    <m/>
  </r>
  <r>
    <x v="5"/>
    <s v="RCS POD"/>
    <s v="Heater top cover"/>
    <s v="130010390000221"/>
    <s v="Indonesia Wellsun Plastic"/>
    <m/>
    <s v="Plastic"/>
    <x v="2"/>
    <x v="11"/>
    <d v="2025-03-06T00:00:00"/>
    <m/>
    <n v="8.7945000000000009E-2"/>
    <n v="0.126555"/>
    <n v="3.8610000000000005E-2"/>
    <m/>
    <n v="1"/>
    <n v="8.7945000000000009E-2"/>
    <n v="16954502"/>
    <n v="353727089"/>
    <n v="9509940.0757872239"/>
    <n v="-3039128.95"/>
    <s v="PCTG 1501"/>
    <s v="Transparent"/>
    <n v="0.31"/>
    <m/>
    <m/>
    <m/>
    <n v="2145677.00061"/>
    <m/>
    <n v="5255.895620000000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s v="RCS DEVICE"/>
    <s v="Top cover"/>
    <s v="130040670013934"/>
    <s v="Dongguan Wellsun Plastic"/>
    <n v="2023"/>
    <n v="12"/>
    <s v="DP"/>
    <d v="2024-11-01T00:00:00"/>
    <n v="16"/>
    <n v="812968"/>
    <n v="812968"/>
    <n v="1000000"/>
    <x v="0"/>
    <d v="2023-12-23T00:00:00"/>
    <n v="650000"/>
    <n v="1"/>
    <n v="650000"/>
    <s v="Chris"/>
    <s v="Approved"/>
    <x v="0"/>
    <s v="16 cavities"/>
    <s v="ok"/>
  </r>
  <r>
    <x v="0"/>
    <s v="RCS DEVICE"/>
    <s v="Top cover"/>
    <s v="130040670013934"/>
    <s v="Dongguan Wellsun Plastic"/>
    <n v="2024"/>
    <n v="4"/>
    <s v="DP"/>
    <d v="2024-11-01T00:00:00"/>
    <n v="8"/>
    <n v="406484"/>
    <n v="406484"/>
    <n v="1000000"/>
    <x v="0"/>
    <d v="2024-04-08T00:00:00"/>
    <n v="450000"/>
    <n v="1"/>
    <n v="450000"/>
    <s v="Chris"/>
    <s v="Approved"/>
    <x v="0"/>
    <s v="8 cavities"/>
    <s v="ok"/>
  </r>
  <r>
    <x v="0"/>
    <s v="RCS DEVICE"/>
    <s v="Top cover"/>
    <s v="130040670013934"/>
    <s v="Dongguan Wellsun Plastic"/>
    <n v="2023"/>
    <n v="10"/>
    <s v="DP"/>
    <d v="2024-11-01T00:00:00"/>
    <n v="2"/>
    <m/>
    <n v="0"/>
    <n v="500000"/>
    <x v="1"/>
    <d v="2023-10-12T00:00:00"/>
    <n v="115044.24778761101"/>
    <n v="1"/>
    <n v="115044.24778761101"/>
    <s v="Chris"/>
    <s v="Approved"/>
    <x v="0"/>
    <m/>
    <m/>
  </r>
  <r>
    <x v="0"/>
    <s v="RCS DEVICE"/>
    <s v="Top cover"/>
    <s v="130040670013934"/>
    <s v="Dongguan Wellsun Plastic"/>
    <n v="2023"/>
    <n v="10"/>
    <s v="DP"/>
    <d v="2024-11-01T00:00:00"/>
    <n v="2"/>
    <m/>
    <n v="0"/>
    <n v="500000"/>
    <x v="1"/>
    <d v="2023-10-12T00:00:00"/>
    <n v="115044.24778761101"/>
    <n v="1"/>
    <n v="115044.24778761101"/>
    <s v="Chris"/>
    <s v="Approved"/>
    <x v="0"/>
    <m/>
    <m/>
  </r>
  <r>
    <x v="0"/>
    <s v="RCS DEVICE"/>
    <s v="Top cover"/>
    <s v="130040670013934"/>
    <s v="Dongguan Wellsun Plastic"/>
    <n v="2023"/>
    <n v="11"/>
    <s v="DP"/>
    <d v="2024-11-01T00:00:00"/>
    <n v="2"/>
    <m/>
    <n v="0"/>
    <n v="500000"/>
    <x v="2"/>
    <d v="2023-11-04T00:00:00"/>
    <n v="6548.6725663716825"/>
    <n v="1"/>
    <n v="6548.6725663716825"/>
    <s v="Chris"/>
    <s v="Approved"/>
    <x v="0"/>
    <m/>
    <m/>
  </r>
  <r>
    <x v="0"/>
    <s v="RCS DEVICE"/>
    <s v="Top cover"/>
    <s v="130040670013934"/>
    <s v="Dongguan Wellsun Plastic"/>
    <n v="2023"/>
    <n v="11"/>
    <s v="DP"/>
    <d v="2024-11-01T00:00:00"/>
    <n v="2"/>
    <m/>
    <n v="0"/>
    <n v="500000"/>
    <x v="2"/>
    <d v="2023-11-18T00:00:00"/>
    <n v="6283.1858407079653"/>
    <n v="1"/>
    <n v="6283.1858407079653"/>
    <s v="Chris"/>
    <s v="Approved"/>
    <x v="0"/>
    <m/>
    <m/>
  </r>
  <r>
    <x v="0"/>
    <s v="RCS DEVICE"/>
    <s v="Top cover"/>
    <s v="130040670013934"/>
    <s v="Dongguan Wellsun Plastic"/>
    <n v="2024"/>
    <n v="2"/>
    <s v="DP"/>
    <d v="2024-11-01T00:00:00"/>
    <n v="2"/>
    <m/>
    <n v="0"/>
    <n v="500000"/>
    <x v="2"/>
    <d v="2024-02-26T00:00:00"/>
    <n v="41415.929203539825"/>
    <n v="1"/>
    <n v="41415.929203539825"/>
    <s v="Chris"/>
    <s v="Approved"/>
    <x v="0"/>
    <m/>
    <m/>
  </r>
  <r>
    <x v="0"/>
    <s v="RCS DEVICE"/>
    <s v="Top cover"/>
    <s v="130040670013934"/>
    <s v="Dongguan Wellsun Plastic"/>
    <n v="2024"/>
    <n v="3"/>
    <s v="DP"/>
    <d v="2024-11-01T00:00:00"/>
    <n v="2"/>
    <m/>
    <n v="0"/>
    <n v="500000"/>
    <x v="2"/>
    <d v="2024-03-28T00:00:00"/>
    <n v="42477.876106194693"/>
    <n v="1"/>
    <n v="42477.876106194693"/>
    <s v="Chris"/>
    <s v="Approved"/>
    <x v="0"/>
    <m/>
    <m/>
  </r>
  <r>
    <x v="0"/>
    <s v="RCS DEVICE"/>
    <s v="Top cover"/>
    <s v="130040670013934"/>
    <s v="Dongguan Wellsun Plastic"/>
    <n v="2024"/>
    <n v="7"/>
    <s v="DP"/>
    <d v="2024-11-01T00:00:00"/>
    <n v="2"/>
    <m/>
    <n v="0"/>
    <n v="500000"/>
    <x v="2"/>
    <d v="2024-07-26T00:00:00"/>
    <n v="37345.132743362832"/>
    <n v="1"/>
    <n v="37345.132743362832"/>
    <s v="Chris"/>
    <s v="Approved"/>
    <x v="0"/>
    <m/>
    <m/>
  </r>
  <r>
    <x v="0"/>
    <s v="RCS DEVICE"/>
    <s v="Top cover"/>
    <s v="130040670013934"/>
    <s v="Dongguan Wellsun Plastic"/>
    <n v="2024"/>
    <n v="7"/>
    <s v="DP"/>
    <d v="2024-11-01T00:00:00"/>
    <n v="2"/>
    <m/>
    <n v="0"/>
    <n v="500000"/>
    <x v="2"/>
    <d v="2024-07-26T00:00:00"/>
    <n v="39380.530973451328"/>
    <n v="1"/>
    <n v="39380.530973451328"/>
    <s v="Chris"/>
    <s v="Approved"/>
    <x v="0"/>
    <m/>
    <m/>
  </r>
  <r>
    <x v="0"/>
    <s v="RCS DEVICE"/>
    <s v="Top cover"/>
    <s v="130040670013934"/>
    <s v="Dongguan Wellsun Plastic"/>
    <n v="2024"/>
    <n v="9"/>
    <s v="DP"/>
    <d v="2024-11-01T00:00:00"/>
    <n v="2"/>
    <m/>
    <n v="0"/>
    <n v="500000"/>
    <x v="2"/>
    <d v="2024-09-12T00:00:00"/>
    <n v="25849.557522123898"/>
    <n v="1"/>
    <n v="25849.557522123898"/>
    <s v="Chris"/>
    <s v="Approved"/>
    <x v="0"/>
    <m/>
    <m/>
  </r>
  <r>
    <x v="0"/>
    <s v="RCS DEVICE"/>
    <s v="Top cover"/>
    <s v="130040670013934"/>
    <s v="Dongguan Wellsun Plastic"/>
    <n v="2024"/>
    <n v="9"/>
    <s v="DP"/>
    <d v="2024-11-01T00:00:00"/>
    <n v="2"/>
    <m/>
    <n v="0"/>
    <n v="500000"/>
    <x v="2"/>
    <d v="2024-09-25T00:00:00"/>
    <n v="4601.7699115044252"/>
    <n v="1"/>
    <n v="4601.7699115044252"/>
    <s v="Chris"/>
    <s v="Approved"/>
    <x v="0"/>
    <m/>
    <m/>
  </r>
  <r>
    <x v="0"/>
    <s v="RCS DEVICE"/>
    <s v="Bottom cover"/>
    <s v="130040670019337"/>
    <s v="Dongguan Wellsun Plastic"/>
    <n v="2023"/>
    <n v="12"/>
    <s v="DP"/>
    <d v="2024-11-01T00:00:00"/>
    <n v="16"/>
    <n v="978432"/>
    <n v="978432"/>
    <n v="1000000"/>
    <x v="0"/>
    <d v="2023-12-23T00:00:00"/>
    <n v="535000"/>
    <n v="1"/>
    <n v="535000"/>
    <s v="Chris"/>
    <s v="Approved"/>
    <x v="0"/>
    <s v="16 cavities"/>
    <s v="ok,share with item 6"/>
  </r>
  <r>
    <x v="0"/>
    <s v="RCS DEVICE"/>
    <s v="Bottom cover"/>
    <s v="130040670019337"/>
    <s v="Dongguan Wellsun Plastic"/>
    <n v="2024"/>
    <n v="4"/>
    <s v="DP"/>
    <d v="2024-11-01T00:00:00"/>
    <n v="8"/>
    <n v="489216"/>
    <n v="489216"/>
    <n v="1000000"/>
    <x v="0"/>
    <d v="2024-04-08T00:00:00"/>
    <n v="350000"/>
    <n v="1"/>
    <n v="350000"/>
    <s v="Chris"/>
    <s v="Approved"/>
    <x v="0"/>
    <s v="8 cavities"/>
    <s v="ok,share with item 7"/>
  </r>
  <r>
    <x v="0"/>
    <s v="RCS DEVICE"/>
    <s v="Bottom cover"/>
    <s v="130040670019337"/>
    <s v="Dongguan Wellsun Plastic"/>
    <n v="2023"/>
    <n v="10"/>
    <s v="DP"/>
    <d v="2024-11-01T00:00:00"/>
    <n v="2"/>
    <m/>
    <n v="0"/>
    <n v="500000"/>
    <x v="1"/>
    <d v="2023-10-12T00:00:00"/>
    <n v="97345.132743362803"/>
    <n v="1"/>
    <n v="97345.132743362803"/>
    <s v="Chris"/>
    <s v="Approved"/>
    <x v="0"/>
    <m/>
    <m/>
  </r>
  <r>
    <x v="0"/>
    <s v="RCS DEVICE"/>
    <s v="Bottom cover"/>
    <s v="130040670019337"/>
    <s v="Dongguan Wellsun Plastic"/>
    <n v="2023"/>
    <n v="11"/>
    <s v="DP"/>
    <d v="2024-11-01T00:00:00"/>
    <n v="2"/>
    <m/>
    <n v="0"/>
    <n v="500000"/>
    <x v="2"/>
    <d v="2023-11-18T00:00:00"/>
    <n v="9734.5132743362847"/>
    <n v="1"/>
    <n v="9734.5132743362847"/>
    <s v="Chris"/>
    <s v="Approved"/>
    <x v="0"/>
    <m/>
    <m/>
  </r>
  <r>
    <x v="0"/>
    <s v="RCS DEVICE"/>
    <s v="Bottom cover"/>
    <s v="130040670019337"/>
    <s v="Dongguan Wellsun Plastic"/>
    <n v="2024"/>
    <n v="1"/>
    <s v="DP"/>
    <d v="2024-11-01T00:00:00"/>
    <n v="2"/>
    <m/>
    <n v="0"/>
    <n v="500000"/>
    <x v="2"/>
    <d v="2024-01-04T00:00:00"/>
    <n v="5044.2477876106195"/>
    <n v="1"/>
    <n v="5044.2477876106195"/>
    <s v="Chris"/>
    <s v="Approved"/>
    <x v="0"/>
    <m/>
    <m/>
  </r>
  <r>
    <x v="0"/>
    <s v="RCS DEVICE"/>
    <s v="Bottom cover"/>
    <s v="130040670019337"/>
    <s v="Dongguan Wellsun Plastic"/>
    <n v="2024"/>
    <n v="1"/>
    <s v="DP"/>
    <d v="2024-11-01T00:00:00"/>
    <n v="2"/>
    <m/>
    <n v="0"/>
    <n v="500000"/>
    <x v="2"/>
    <d v="2024-01-02T00:00:00"/>
    <n v="6460.1769911504434"/>
    <n v="1"/>
    <n v="6460.1769911504434"/>
    <s v="Chris"/>
    <s v="Approved"/>
    <x v="0"/>
    <m/>
    <m/>
  </r>
  <r>
    <x v="0"/>
    <s v="RCS DEVICE"/>
    <s v="Bottom cover"/>
    <s v="130040670019337"/>
    <s v="Dongguan Wellsun Plastic"/>
    <n v="2024"/>
    <n v="1"/>
    <s v="DP"/>
    <d v="2024-11-01T00:00:00"/>
    <n v="2"/>
    <m/>
    <n v="0"/>
    <n v="500000"/>
    <x v="2"/>
    <d v="2024-04-08T00:00:00"/>
    <n v="24778.761061946905"/>
    <n v="1"/>
    <n v="24778.761061946905"/>
    <s v="Chris"/>
    <s v="Approved"/>
    <x v="0"/>
    <m/>
    <m/>
  </r>
  <r>
    <x v="0"/>
    <s v="RCS DEVICE"/>
    <s v="Button"/>
    <s v="130040670019383"/>
    <s v="Dongguan Wellsun Plastic"/>
    <n v="2023"/>
    <n v="12"/>
    <s v="DP"/>
    <d v="2024-11-01T00:00:00"/>
    <n v="16"/>
    <n v="1397760"/>
    <n v="1397760"/>
    <n v="1000000"/>
    <x v="0"/>
    <d v="2023-12-23T00:00:00"/>
    <n v="250000"/>
    <n v="1"/>
    <n v="250000"/>
    <s v="Chris"/>
    <s v="Approved"/>
    <x v="0"/>
    <m/>
    <s v="ok,share with item 6"/>
  </r>
  <r>
    <x v="0"/>
    <s v="RCS DEVICE"/>
    <s v="Button"/>
    <s v="130040670019383_x000a_130040670024316"/>
    <s v="Dongguan Wellsun Plastic"/>
    <n v="2023"/>
    <n v="12"/>
    <s v="DP"/>
    <d v="2024-11-01T00:00:00"/>
    <s v="2+2"/>
    <m/>
    <n v="0"/>
    <n v="500000"/>
    <x v="2"/>
    <d v="2023-12-02T00:00:00"/>
    <n v="3982.3008849557527"/>
    <n v="1"/>
    <n v="3982.3008849557527"/>
    <s v="Chris"/>
    <s v="Approved"/>
    <x v="0"/>
    <m/>
    <m/>
  </r>
  <r>
    <x v="0"/>
    <s v="RCS DEVICE"/>
    <s v="Button"/>
    <s v="130040670013603"/>
    <s v="Dongguan Wellsun Plastic"/>
    <n v="2023"/>
    <n v="10"/>
    <s v="DP"/>
    <d v="2024-11-01T00:00:00"/>
    <s v="2+2"/>
    <m/>
    <n v="0"/>
    <n v="500000"/>
    <x v="1"/>
    <d v="2023-10-12T00:00:00"/>
    <n v="69026.548672566394"/>
    <n v="1"/>
    <n v="69026.548672566394"/>
    <s v="Chris"/>
    <s v="Approved"/>
    <x v="0"/>
    <s v="Button-A and Button-B share one mold"/>
    <m/>
  </r>
  <r>
    <x v="0"/>
    <s v="RCS DEVICE"/>
    <s v="Button"/>
    <s v="130040670019383_x000a_130040670024316"/>
    <s v="Dongguan Wellsun Plastic"/>
    <n v="2023"/>
    <n v="10"/>
    <s v="DP"/>
    <d v="2024-11-01T00:00:00"/>
    <s v="2+2"/>
    <m/>
    <n v="0"/>
    <n v="500000"/>
    <x v="1"/>
    <d v="2023-10-12T00:00:00"/>
    <n v="69026.548672566394"/>
    <n v="1"/>
    <n v="69026.548672566394"/>
    <s v="Chris"/>
    <s v="Approved"/>
    <x v="0"/>
    <s v="Button-B thicker and Matte thicker sahre one mold"/>
    <m/>
  </r>
  <r>
    <x v="0"/>
    <s v="RCS DEVICE"/>
    <s v="PCBA holder"/>
    <s v="130040670013937"/>
    <s v="Dongguan Wellsun Plastic"/>
    <n v="2023"/>
    <n v="12"/>
    <s v="DP"/>
    <d v="2024-11-01T00:00:00"/>
    <n v="16"/>
    <n v="1223040"/>
    <n v="1223040"/>
    <n v="1000000"/>
    <x v="0"/>
    <d v="2023-12-23T00:00:00"/>
    <n v="432000"/>
    <n v="1"/>
    <n v="432000"/>
    <s v="Chris"/>
    <s v="Approved"/>
    <x v="0"/>
    <m/>
    <s v="ok,share with item 6"/>
  </r>
  <r>
    <x v="0"/>
    <s v="RCS DEVICE"/>
    <s v="PCBA holder"/>
    <s v="130040670013937"/>
    <s v="Dongguan Wellsun Plastic"/>
    <n v="2023"/>
    <n v="10"/>
    <s v="DP"/>
    <d v="2024-11-01T00:00:00"/>
    <n v="2"/>
    <m/>
    <n v="0"/>
    <n v="500000"/>
    <x v="1"/>
    <d v="2023-10-12T00:00:00"/>
    <n v="66371.681415929197"/>
    <n v="1"/>
    <n v="66371.681415929197"/>
    <s v="Chris"/>
    <s v="Approved"/>
    <x v="0"/>
    <m/>
    <m/>
  </r>
  <r>
    <x v="0"/>
    <s v="RCS DEVICE"/>
    <s v="PCBA holder"/>
    <s v="130040670013937"/>
    <s v="Dongguan Wellsun Plastic"/>
    <n v="2023"/>
    <n v="10"/>
    <s v="DP"/>
    <d v="2024-11-01T00:00:00"/>
    <n v="2"/>
    <m/>
    <n v="0"/>
    <n v="500000"/>
    <x v="1"/>
    <d v="2023-10-12T00:00:00"/>
    <n v="66371.681415929197"/>
    <n v="1"/>
    <n v="66371.681415929197"/>
    <s v="Chris"/>
    <s v="Approved"/>
    <x v="0"/>
    <m/>
    <m/>
  </r>
  <r>
    <x v="0"/>
    <s v="RCS DEVICE"/>
    <s v="PCBA holder"/>
    <s v="130040670013937"/>
    <s v="Dongguan Wellsun Plastic"/>
    <n v="2024"/>
    <n v="9"/>
    <s v="DP"/>
    <d v="2024-11-01T00:00:00"/>
    <n v="2"/>
    <m/>
    <n v="0"/>
    <n v="500000"/>
    <x v="2"/>
    <d v="2024-09-12T00:00:00"/>
    <n v="18584.070796460179"/>
    <n v="1"/>
    <n v="18584.070796460179"/>
    <s v="Chris"/>
    <s v="Approved"/>
    <x v="0"/>
    <m/>
    <m/>
  </r>
  <r>
    <x v="0"/>
    <s v="RCS DEVICE"/>
    <s v="Light guide"/>
    <s v="130040670019391"/>
    <s v="Dongguan Wellsun Plastic"/>
    <n v="2023"/>
    <n v="12"/>
    <s v="DP"/>
    <d v="2024-11-01T00:00:00"/>
    <n v="16"/>
    <n v="1467648"/>
    <n v="1467648"/>
    <n v="1000000"/>
    <x v="0"/>
    <d v="2023-12-23T00:00:00"/>
    <n v="225000"/>
    <n v="1"/>
    <n v="225000"/>
    <s v="Chris"/>
    <s v="Approved"/>
    <x v="0"/>
    <m/>
    <s v="ok,share with item 6"/>
  </r>
  <r>
    <x v="0"/>
    <s v="RCS DEVICE"/>
    <s v="Light guide"/>
    <s v="130040670019391"/>
    <s v="Dongguan Wellsun Plastic"/>
    <n v="2023"/>
    <n v="10"/>
    <s v="DP"/>
    <d v="2024-11-01T00:00:00"/>
    <n v="2"/>
    <m/>
    <n v="0"/>
    <n v="500000"/>
    <x v="1"/>
    <d v="2023-10-12T00:00:00"/>
    <n v="60176.991150442504"/>
    <n v="1"/>
    <n v="60176.991150442504"/>
    <s v="Chris"/>
    <s v="Approved"/>
    <x v="0"/>
    <m/>
    <m/>
  </r>
  <r>
    <x v="0"/>
    <s v="RCS DEVICE"/>
    <s v="Light guide"/>
    <s v="130040670019391"/>
    <s v="Dongguan Wellsun Plastic"/>
    <n v="2023"/>
    <n v="12"/>
    <s v="DP"/>
    <d v="2024-11-01T00:00:00"/>
    <n v="2"/>
    <m/>
    <n v="0"/>
    <n v="500000"/>
    <x v="2"/>
    <d v="2023-12-14T00:00:00"/>
    <n v="3982.3008849557527"/>
    <n v="1"/>
    <n v="3982.3008849557527"/>
    <s v="Chris"/>
    <s v="Approved"/>
    <x v="0"/>
    <m/>
    <m/>
  </r>
  <r>
    <x v="0"/>
    <s v="RCS DEVICE"/>
    <s v="Light guide"/>
    <s v="130040670019391"/>
    <s v="Dongguan Wellsun Plastic"/>
    <n v="2023"/>
    <n v="12"/>
    <s v="DP"/>
    <d v="2024-11-01T00:00:00"/>
    <n v="2"/>
    <m/>
    <n v="0"/>
    <n v="500000"/>
    <x v="2"/>
    <d v="2023-12-15T00:00:00"/>
    <n v="4070.7964601769913"/>
    <n v="1"/>
    <n v="4070.7964601769913"/>
    <s v="Chris"/>
    <s v="Approved"/>
    <x v="0"/>
    <m/>
    <m/>
  </r>
  <r>
    <x v="1"/>
    <s v="MODI"/>
    <s v="Cartridge tank"/>
    <s v="130040670043027"/>
    <s v="Dongguan Wellsun Plastic"/>
    <n v="2024"/>
    <n v="5"/>
    <s v="DP"/>
    <d v="2024-11-01T00:00:00"/>
    <n v="8"/>
    <n v="406484"/>
    <n v="406484"/>
    <n v="1000000"/>
    <x v="0"/>
    <d v="2024-05-05T00:00:00"/>
    <n v="378000"/>
    <n v="1"/>
    <n v="378000"/>
    <s v="Chris"/>
    <s v="Approved"/>
    <x v="0"/>
    <m/>
    <s v="ok"/>
  </r>
  <r>
    <x v="1"/>
    <s v="MODI"/>
    <s v="Cartridge tank"/>
    <s v="130040670043027"/>
    <s v="Dongguan Wellsun Plastic"/>
    <n v="2024"/>
    <n v="1"/>
    <s v="DP"/>
    <d v="2024-11-01T00:00:00"/>
    <n v="2"/>
    <m/>
    <n v="0"/>
    <n v="500000"/>
    <x v="1"/>
    <d v="2024-01-10T00:00:00"/>
    <n v="120000"/>
    <n v="1"/>
    <n v="120000"/>
    <s v="Chris"/>
    <s v="Approved"/>
    <x v="0"/>
    <m/>
    <s v="ok"/>
  </r>
  <r>
    <x v="1"/>
    <s v="MODI"/>
    <s v="Cartridge tank"/>
    <s v="130040670043027"/>
    <s v="Dongguan Wellsun Plastic"/>
    <n v="2023"/>
    <n v="11"/>
    <s v="DP"/>
    <d v="2024-11-01T00:00:00"/>
    <n v="2"/>
    <m/>
    <n v="0"/>
    <n v="500000"/>
    <x v="1"/>
    <d v="2023-11-14T00:00:00"/>
    <n v="57522.123893805299"/>
    <n v="1"/>
    <n v="57522.123893805299"/>
    <s v="Chris"/>
    <s v="Approved"/>
    <x v="0"/>
    <m/>
    <s v="ok"/>
  </r>
  <r>
    <x v="1"/>
    <s v="MODI"/>
    <s v="Plastic plug"/>
    <s v="/"/>
    <s v="Dongguan Wellsun Plastic"/>
    <n v="2023"/>
    <n v="11"/>
    <s v="DP"/>
    <d v="2024-11-01T00:00:00"/>
    <n v="2"/>
    <m/>
    <n v="0"/>
    <n v="500000"/>
    <x v="1"/>
    <d v="2023-11-14T00:00:00"/>
    <n v="22123.893805309701"/>
    <n v="1"/>
    <n v="22123.893805309701"/>
    <s v="Chris"/>
    <s v="Approved"/>
    <x v="0"/>
    <m/>
    <s v="ok"/>
  </r>
  <r>
    <x v="1"/>
    <s v="MODI"/>
    <s v="Cartridge tank"/>
    <s v="130040670043027"/>
    <s v="Dongguan Wellsun Plastic"/>
    <n v="2024"/>
    <n v="3"/>
    <s v="DP"/>
    <d v="2024-11-01T00:00:00"/>
    <n v="2"/>
    <m/>
    <n v="0"/>
    <n v="500000"/>
    <x v="2"/>
    <d v="2024-03-28T00:00:00"/>
    <n v="3982.30088495575"/>
    <n v="1"/>
    <n v="3982.30088495575"/>
    <s v="Chris"/>
    <s v="Approved"/>
    <x v="0"/>
    <m/>
    <m/>
  </r>
  <r>
    <x v="1"/>
    <s v="MODI"/>
    <s v="Cartridge tank"/>
    <s v="130040670043027"/>
    <s v="Dongguan Wellsun Plastic"/>
    <n v="2024"/>
    <n v="4"/>
    <s v="DP"/>
    <d v="2024-11-01T00:00:00"/>
    <n v="2"/>
    <m/>
    <n v="0"/>
    <n v="500000"/>
    <x v="2"/>
    <d v="2024-04-12T00:00:00"/>
    <n v="38495.575221238898"/>
    <n v="1"/>
    <n v="38495.575221238898"/>
    <s v="Chris"/>
    <s v="Approved"/>
    <x v="0"/>
    <m/>
    <m/>
  </r>
  <r>
    <x v="1"/>
    <s v="MODI"/>
    <s v="Cartridge tank"/>
    <s v="130040670043027"/>
    <s v="Dongguan Wellsun Plastic"/>
    <n v="2024"/>
    <n v="5"/>
    <s v="DP"/>
    <d v="2024-11-01T00:00:00"/>
    <n v="2"/>
    <m/>
    <n v="0"/>
    <n v="500000"/>
    <x v="2"/>
    <d v="2024-05-30T00:00:00"/>
    <n v="6725.6637168141597"/>
    <n v="1"/>
    <n v="6725.6637168141597"/>
    <s v="Chris"/>
    <s v="Approved"/>
    <x v="0"/>
    <m/>
    <m/>
  </r>
  <r>
    <x v="1"/>
    <s v="MODI"/>
    <s v="Cartridge tank"/>
    <s v="130040670043027"/>
    <s v="Dongguan Wellsun Plastic"/>
    <n v="2024"/>
    <n v="6"/>
    <s v="DP"/>
    <d v="2024-11-01T00:00:00"/>
    <n v="2"/>
    <m/>
    <n v="0"/>
    <n v="500000"/>
    <x v="3"/>
    <d v="2024-06-06T00:00:00"/>
    <n v="33628.318584070803"/>
    <n v="1"/>
    <n v="33628.318584070803"/>
    <s v="Chris"/>
    <s v="Approved"/>
    <x v="0"/>
    <m/>
    <m/>
  </r>
  <r>
    <x v="1"/>
    <s v="MODI"/>
    <s v="Cartridge tank"/>
    <s v="130040670043027"/>
    <s v="Dongguan Wellsun Plastic"/>
    <n v="2024"/>
    <n v="7"/>
    <s v="DP"/>
    <d v="2024-11-01T00:00:00"/>
    <n v="8"/>
    <m/>
    <n v="0"/>
    <n v="1000000"/>
    <x v="3"/>
    <d v="2024-07-01T00:00:00"/>
    <n v="5752"/>
    <n v="1"/>
    <n v="5752"/>
    <s v="Chris"/>
    <s v="Approved"/>
    <x v="0"/>
    <m/>
    <m/>
  </r>
  <r>
    <x v="1"/>
    <s v="MODI"/>
    <s v="Cartridge tank"/>
    <s v="130040670043027"/>
    <s v="Dongguan Wellsun Plastic"/>
    <n v="2024"/>
    <n v="7"/>
    <s v="DP"/>
    <d v="2024-11-01T00:00:00"/>
    <n v="2"/>
    <m/>
    <n v="0"/>
    <n v="500000"/>
    <x v="2"/>
    <d v="2024-07-22T00:00:00"/>
    <n v="4690.2654867256597"/>
    <n v="1"/>
    <n v="4690.2654867256597"/>
    <s v="Chris"/>
    <s v="Approved"/>
    <x v="0"/>
    <m/>
    <m/>
  </r>
  <r>
    <x v="1"/>
    <s v="MODI"/>
    <s v="Cartridge tank"/>
    <s v="130040670043027"/>
    <s v="Dongguan Wellsun Plastic"/>
    <n v="2024"/>
    <n v="7"/>
    <s v="DP"/>
    <d v="2024-11-01T00:00:00"/>
    <n v="8"/>
    <m/>
    <n v="0"/>
    <n v="1000000"/>
    <x v="3"/>
    <d v="2024-07-31T00:00:00"/>
    <n v="7947"/>
    <n v="1"/>
    <n v="7947"/>
    <s v="Chris"/>
    <s v="Approved"/>
    <x v="0"/>
    <m/>
    <m/>
  </r>
  <r>
    <x v="1"/>
    <s v="MODI"/>
    <s v="Cartridge tank"/>
    <s v="130040670043027"/>
    <s v="Dongguan Wellsun Plastic"/>
    <n v="2024"/>
    <n v="7"/>
    <s v="DP"/>
    <d v="2024-11-01T00:00:00"/>
    <n v="2"/>
    <m/>
    <n v="0"/>
    <n v="500000"/>
    <x v="2"/>
    <d v="2024-07-31T00:00:00"/>
    <n v="3716.8141592920401"/>
    <n v="1"/>
    <n v="3716.8141592920401"/>
    <s v="Chris"/>
    <s v="Approved"/>
    <x v="0"/>
    <m/>
    <m/>
  </r>
  <r>
    <x v="1"/>
    <s v="MODI"/>
    <s v="Cartridge tank"/>
    <s v="130040670043027"/>
    <s v="Dongguan Wellsun Plastic"/>
    <n v="2024"/>
    <n v="8"/>
    <s v="DP"/>
    <d v="2024-11-01T00:00:00"/>
    <n v="8"/>
    <m/>
    <n v="0"/>
    <n v="1000000"/>
    <x v="3"/>
    <d v="2024-08-07T00:00:00"/>
    <n v="7920.3539823008896"/>
    <n v="1"/>
    <n v="7920.3539823008896"/>
    <s v="Chris"/>
    <s v="Approved"/>
    <x v="0"/>
    <m/>
    <m/>
  </r>
  <r>
    <x v="2"/>
    <s v="MODI"/>
    <s v="Cartridge tank"/>
    <s v="130040670023444"/>
    <s v="Dongguan Wellsun Plastic"/>
    <n v="2024"/>
    <n v="5"/>
    <s v="DP"/>
    <d v="2024-11-01T00:00:00"/>
    <n v="16"/>
    <n v="812968"/>
    <n v="1625936"/>
    <n v="1000000"/>
    <x v="0"/>
    <d v="2024-05-17T00:00:00"/>
    <n v="550000"/>
    <n v="2"/>
    <n v="1100000"/>
    <s v="Chris"/>
    <s v="Approved"/>
    <x v="0"/>
    <m/>
    <s v="ok"/>
  </r>
  <r>
    <x v="2"/>
    <s v="MODI"/>
    <s v="Heater top cover"/>
    <s v="130040670023445"/>
    <s v="Dongguan Wellsun Plastic"/>
    <n v="2024"/>
    <n v="5"/>
    <s v="DP"/>
    <d v="2024-11-01T00:00:00"/>
    <n v="32"/>
    <n v="2257918"/>
    <n v="2257918"/>
    <n v="1000000"/>
    <x v="0"/>
    <d v="2024-05-17T00:00:00"/>
    <n v="750000"/>
    <n v="1"/>
    <n v="750000"/>
    <s v="Chris"/>
    <s v="Approved"/>
    <x v="0"/>
    <m/>
    <s v="ok"/>
  </r>
  <r>
    <x v="2"/>
    <s v="MODI"/>
    <s v="Heating holder"/>
    <s v="130040670023448"/>
    <s v="Dongguan Wellsun Plastic"/>
    <n v="2024"/>
    <n v="5"/>
    <s v="DP"/>
    <d v="2024-11-01T00:00:00"/>
    <n v="32"/>
    <n v="2257918"/>
    <n v="2257918"/>
    <n v="1000000"/>
    <x v="0"/>
    <d v="2024-05-17T00:00:00"/>
    <n v="720000"/>
    <n v="1"/>
    <n v="720000"/>
    <s v="Chris"/>
    <s v="Approved"/>
    <x v="0"/>
    <m/>
    <s v="ok"/>
  </r>
  <r>
    <x v="2"/>
    <s v="MODI"/>
    <s v="Bottom cover"/>
    <s v="130040670023442"/>
    <s v="Dongguan Wellsun Plastic"/>
    <n v="2024"/>
    <n v="5"/>
    <s v="DP"/>
    <d v="2024-11-01T00:00:00"/>
    <n v="16"/>
    <n v="1174108"/>
    <n v="2348216"/>
    <n v="1000000"/>
    <x v="0"/>
    <d v="2024-05-17T00:00:00"/>
    <n v="500000"/>
    <n v="2"/>
    <n v="1000000"/>
    <s v="Chris"/>
    <s v="Approved"/>
    <x v="0"/>
    <m/>
    <s v="ok"/>
  </r>
  <r>
    <x v="2"/>
    <s v="MODI"/>
    <s v="Inner bracket"/>
    <s v="130040670023440"/>
    <s v="Dongguan Wellsun Plastic"/>
    <n v="2024"/>
    <n v="5"/>
    <s v="DP"/>
    <d v="2024-11-01T00:00:00"/>
    <n v="16"/>
    <n v="1087138"/>
    <n v="2174276"/>
    <n v="1000000"/>
    <x v="0"/>
    <d v="2024-05-17T00:00:00"/>
    <n v="560000"/>
    <n v="2"/>
    <n v="1120000"/>
    <s v="Chris"/>
    <s v="Approved"/>
    <x v="0"/>
    <m/>
    <s v="ok"/>
  </r>
  <r>
    <x v="0"/>
    <s v="RCS DEVICE"/>
    <s v="Bottom cover-KC"/>
    <s v="130040670019338"/>
    <s v="Dongguan Wellsun Plastic"/>
    <n v="2024"/>
    <n v="3"/>
    <s v="DP"/>
    <d v="2024-11-01T00:00:00"/>
    <n v="4"/>
    <n v="209664"/>
    <n v="209664"/>
    <n v="1000000"/>
    <x v="0"/>
    <d v="2024-03-14T00:00:00"/>
    <n v="219000"/>
    <n v="1"/>
    <n v="219000"/>
    <s v="Chris"/>
    <s v="Approved"/>
    <x v="0"/>
    <m/>
    <s v="ok"/>
  </r>
  <r>
    <x v="3"/>
    <s v="MODI"/>
    <s v="Bottom cover"/>
    <s v="130040670021244"/>
    <s v="Dongguan Wellsun Plastic"/>
    <n v="2023"/>
    <n v="10"/>
    <s v="DP"/>
    <d v="2024-11-01T00:00:00"/>
    <n v="32"/>
    <n v="2188784"/>
    <n v="2188784"/>
    <n v="1000000"/>
    <x v="0"/>
    <d v="2023-10-26T00:00:00"/>
    <n v="500000"/>
    <n v="1"/>
    <n v="500000"/>
    <s v="Chris"/>
    <s v="Approved"/>
    <x v="0"/>
    <m/>
    <s v="ok"/>
  </r>
  <r>
    <x v="3"/>
    <s v="MODI"/>
    <s v="Bottom cover"/>
    <s v="130040670021244"/>
    <s v="Dongguan Wellsun Plastic"/>
    <n v="2023"/>
    <n v="10"/>
    <s v="DP"/>
    <d v="2024-11-01T00:00:00"/>
    <n v="2"/>
    <m/>
    <n v="0"/>
    <n v="500000"/>
    <x v="1"/>
    <d v="2023-10-26T00:00:00"/>
    <n v="57522.123893805299"/>
    <n v="1"/>
    <n v="57522.123893805299"/>
    <s v="Chris"/>
    <s v="Approved"/>
    <x v="0"/>
    <m/>
    <s v="ok"/>
  </r>
  <r>
    <x v="3"/>
    <s v="MODI"/>
    <s v="Bottom cover-B"/>
    <s v="/"/>
    <s v="Dongguan Wellsun Plastic"/>
    <n v="2023"/>
    <n v="10"/>
    <s v="DP"/>
    <d v="2024-11-01T00:00:00"/>
    <n v="2"/>
    <m/>
    <n v="0"/>
    <n v="500000"/>
    <x v="1"/>
    <d v="2023-10-26T00:00:00"/>
    <n v="57522.123893805299"/>
    <n v="1"/>
    <n v="57522.123893805299"/>
    <s v="Chris"/>
    <s v="Approved"/>
    <x v="0"/>
    <m/>
    <s v="ok"/>
  </r>
  <r>
    <x v="3"/>
    <s v="MODI"/>
    <s v="Bottom cover"/>
    <s v="130040670021244"/>
    <s v="Dongguan Wellsun Plastic"/>
    <n v="2024"/>
    <n v="3"/>
    <s v="DP"/>
    <d v="2024-11-01T00:00:00"/>
    <n v="32"/>
    <n v="2188784"/>
    <n v="2188784"/>
    <n v="1000000"/>
    <x v="0"/>
    <d v="2024-03-12T00:00:00"/>
    <n v="450000"/>
    <n v="1"/>
    <n v="450000"/>
    <s v="Chris"/>
    <s v="Approved"/>
    <x v="0"/>
    <m/>
    <s v="ok"/>
  </r>
  <r>
    <x v="3"/>
    <s v="MODI"/>
    <s v="Bottom cover"/>
    <s v="130040670021244"/>
    <s v="Dongguan Wellsun Plastic"/>
    <n v="2023"/>
    <n v="11"/>
    <s v="DP"/>
    <d v="2024-11-01T00:00:00"/>
    <n v="32"/>
    <m/>
    <n v="0"/>
    <n v="1000000"/>
    <x v="3"/>
    <d v="2023-11-11T00:00:00"/>
    <n v="18584.070796460201"/>
    <n v="1"/>
    <n v="18584.070796460201"/>
    <s v="Chris"/>
    <s v="Approved"/>
    <x v="0"/>
    <m/>
    <m/>
  </r>
  <r>
    <x v="3"/>
    <s v="MODI"/>
    <s v="Heating holder"/>
    <s v="130040670034735"/>
    <s v="Dongguan Wellsun Plastic"/>
    <n v="2023"/>
    <n v="11"/>
    <s v="DP"/>
    <d v="2024-11-01T00:00:00"/>
    <n v="2"/>
    <m/>
    <n v="0"/>
    <n v="500000"/>
    <x v="2"/>
    <d v="2023-11-14T00:00:00"/>
    <n v="37168.141592920401"/>
    <n v="1"/>
    <n v="37168.141592920401"/>
    <s v="Chris"/>
    <s v="Approved"/>
    <x v="0"/>
    <m/>
    <m/>
  </r>
  <r>
    <x v="3"/>
    <s v="MODI"/>
    <s v="Heating holder"/>
    <s v="130040670034735"/>
    <s v="Dongguan Wellsun Plastic"/>
    <n v="2023"/>
    <n v="11"/>
    <s v="DP"/>
    <d v="2024-11-01T00:00:00"/>
    <n v="2"/>
    <m/>
    <n v="0"/>
    <n v="500000"/>
    <x v="2"/>
    <d v="2023-11-14T00:00:00"/>
    <n v="39115.044247787599"/>
    <n v="1"/>
    <n v="39115.044247787599"/>
    <s v="Chris"/>
    <s v="Approved"/>
    <x v="0"/>
    <m/>
    <m/>
  </r>
  <r>
    <x v="3"/>
    <s v="MODI"/>
    <s v="Heating holder"/>
    <s v="130040670034735"/>
    <s v="Dongguan Wellsun Plastic"/>
    <n v="2023"/>
    <n v="11"/>
    <s v="DP"/>
    <d v="2024-11-01T00:00:00"/>
    <n v="32"/>
    <m/>
    <n v="0"/>
    <n v="1000000"/>
    <x v="3"/>
    <d v="2023-11-19T00:00:00"/>
    <n v="128318.584070796"/>
    <n v="1"/>
    <n v="128318.584070796"/>
    <s v="Chris"/>
    <s v="Approved"/>
    <x v="0"/>
    <m/>
    <m/>
  </r>
  <r>
    <x v="3"/>
    <s v="MODI"/>
    <s v="Bottom cover"/>
    <s v="130040670021244"/>
    <s v="Dongguan Wellsun Plastic"/>
    <n v="2023"/>
    <n v="11"/>
    <s v="DP"/>
    <d v="2024-11-01T00:00:00"/>
    <n v="2"/>
    <m/>
    <n v="0"/>
    <n v="500000"/>
    <x v="2"/>
    <d v="2023-11-28T00:00:00"/>
    <n v="5752.2123893805301"/>
    <n v="1"/>
    <n v="5752.2123893805301"/>
    <s v="Chris"/>
    <s v="Approved"/>
    <x v="0"/>
    <m/>
    <m/>
  </r>
  <r>
    <x v="3"/>
    <s v="MODI"/>
    <s v="Bottom cover"/>
    <s v="130040670021244"/>
    <s v="Dongguan Wellsun Plastic"/>
    <n v="2023"/>
    <n v="12"/>
    <s v="DP"/>
    <d v="2024-11-01T00:00:00"/>
    <n v="2"/>
    <m/>
    <n v="0"/>
    <n v="500000"/>
    <x v="2"/>
    <d v="2023-12-07T00:00:00"/>
    <n v="5486.7256637168102"/>
    <n v="1"/>
    <n v="5486.7256637168102"/>
    <s v="Chris"/>
    <s v="Approved"/>
    <x v="0"/>
    <m/>
    <m/>
  </r>
  <r>
    <x v="3"/>
    <s v="MODI"/>
    <s v="Bottom cover"/>
    <s v="130040670021244"/>
    <s v="Dongguan Wellsun Plastic"/>
    <n v="2023"/>
    <n v="11"/>
    <s v="DP"/>
    <d v="2024-11-01T00:00:00"/>
    <n v="2"/>
    <m/>
    <n v="0"/>
    <n v="500000"/>
    <x v="2"/>
    <d v="2023-11-23T00:00:00"/>
    <n v="19115.044247787599"/>
    <n v="1"/>
    <n v="19115.044247787599"/>
    <s v="Chris"/>
    <s v="Approved"/>
    <x v="0"/>
    <m/>
    <m/>
  </r>
  <r>
    <x v="3"/>
    <s v="MODI"/>
    <s v="Heating holder"/>
    <s v="130040670034735"/>
    <s v="Dongguan Wellsun Plastic"/>
    <n v="2023"/>
    <n v="12"/>
    <s v="DP"/>
    <d v="2024-11-01T00:00:00"/>
    <n v="32"/>
    <m/>
    <n v="0"/>
    <n v="1000000"/>
    <x v="3"/>
    <d v="2023-12-13T00:00:00"/>
    <n v="27433.628318584098"/>
    <n v="1"/>
    <n v="27433.628318584098"/>
    <s v="Chris"/>
    <s v="Approved"/>
    <x v="0"/>
    <m/>
    <m/>
  </r>
  <r>
    <x v="3"/>
    <s v="MODI"/>
    <s v="Bottom cover"/>
    <s v="130040670021244"/>
    <s v="Dongguan Wellsun Plastic"/>
    <n v="2023"/>
    <n v="12"/>
    <s v="DP"/>
    <d v="2024-11-01T00:00:00"/>
    <n v="32"/>
    <m/>
    <n v="0"/>
    <n v="1000000"/>
    <x v="3"/>
    <d v="2023-12-13T00:00:00"/>
    <n v="75221.238938053095"/>
    <n v="1"/>
    <n v="75221.238938053095"/>
    <s v="Chris"/>
    <s v="Approved"/>
    <x v="0"/>
    <m/>
    <m/>
  </r>
  <r>
    <x v="3"/>
    <s v="MODI"/>
    <s v="Bottom cover"/>
    <s v="130040670021244"/>
    <s v="Dongguan Wellsun Plastic"/>
    <n v="2023"/>
    <n v="12"/>
    <s v="DP"/>
    <d v="2024-11-01T00:00:00"/>
    <n v="2"/>
    <m/>
    <n v="0"/>
    <n v="500000"/>
    <x v="2"/>
    <d v="2023-12-22T00:00:00"/>
    <n v="6371.6814159291998"/>
    <n v="1"/>
    <n v="6371.6814159291998"/>
    <s v="Chris"/>
    <s v="Approved"/>
    <x v="0"/>
    <m/>
    <m/>
  </r>
  <r>
    <x v="3"/>
    <s v="MODI"/>
    <s v="Bottom cover"/>
    <s v="130040670021244"/>
    <s v="Dongguan Wellsun Plastic"/>
    <n v="2024"/>
    <n v="1"/>
    <s v="DP"/>
    <d v="2024-11-01T00:00:00"/>
    <n v="2"/>
    <m/>
    <n v="0"/>
    <n v="500000"/>
    <x v="2"/>
    <d v="2024-01-09T00:00:00"/>
    <n v="5132.7433628318604"/>
    <n v="1"/>
    <n v="5132.7433628318604"/>
    <s v="Chris"/>
    <s v="Approved"/>
    <x v="0"/>
    <m/>
    <m/>
  </r>
  <r>
    <x v="3"/>
    <s v="MODI"/>
    <s v="Bottom cover"/>
    <s v="130040670021244"/>
    <s v="Dongguan Wellsun Plastic"/>
    <n v="2024"/>
    <n v="1"/>
    <s v="DP"/>
    <d v="2024-11-01T00:00:00"/>
    <n v="2"/>
    <m/>
    <n v="0"/>
    <n v="500000"/>
    <x v="2"/>
    <d v="2024-01-02T00:00:00"/>
    <n v="5929.20353982301"/>
    <n v="1"/>
    <n v="5929.20353982301"/>
    <s v="Chris"/>
    <s v="Approved"/>
    <x v="0"/>
    <m/>
    <m/>
  </r>
  <r>
    <x v="0"/>
    <s v="RCS DEVICE"/>
    <s v="Top cover"/>
    <s v="130040670013934"/>
    <s v="Dongguan Wellsun Plastic"/>
    <n v="2024"/>
    <n v="3"/>
    <s v="DP"/>
    <d v="2024-11-01T00:00:00"/>
    <n v="2"/>
    <m/>
    <n v="0"/>
    <n v="500000"/>
    <x v="2"/>
    <d v="2024-03-28T00:00:00"/>
    <n v="48000"/>
    <n v="1"/>
    <n v="48000"/>
    <s v="Chris"/>
    <s v="Approved"/>
    <x v="0"/>
    <m/>
    <m/>
  </r>
  <r>
    <x v="3"/>
    <s v="MODI"/>
    <s v="Cartridge tank"/>
    <s v="130040670034715"/>
    <s v="Dongguan Wellsun Plastic"/>
    <n v="2023"/>
    <n v="10"/>
    <s v="DP"/>
    <d v="2024-11-01T00:00:00"/>
    <n v="32"/>
    <n v="1896960"/>
    <n v="1896960"/>
    <n v="1000000"/>
    <x v="0"/>
    <d v="2023-10-26T00:00:00"/>
    <n v="560000"/>
    <n v="1"/>
    <n v="560000"/>
    <s v="Chris"/>
    <s v="Approved"/>
    <x v="0"/>
    <m/>
    <s v="OK, share with item 56"/>
  </r>
  <r>
    <x v="3"/>
    <s v="MODI"/>
    <s v="Cartridge tank"/>
    <s v="130040670034715"/>
    <s v="Dongguan Wellsun Plastic"/>
    <n v="2023"/>
    <n v="10"/>
    <s v="DP"/>
    <d v="2024-11-01T00:00:00"/>
    <n v="2"/>
    <m/>
    <n v="0"/>
    <n v="500000"/>
    <x v="1"/>
    <d v="2023-10-26T00:00:00"/>
    <n v="62831.858407079599"/>
    <n v="1"/>
    <n v="62831.858407079599"/>
    <s v="Chris"/>
    <s v="Approved"/>
    <x v="0"/>
    <m/>
    <s v="OK, share with item 56"/>
  </r>
  <r>
    <x v="3"/>
    <s v="MODI"/>
    <s v="Cartridge tank"/>
    <s v="130040670034715"/>
    <s v="Dongguan Wellsun Plastic"/>
    <n v="2023"/>
    <n v="12"/>
    <s v="DP"/>
    <d v="2024-11-01T00:00:00"/>
    <n v="2"/>
    <m/>
    <n v="0"/>
    <n v="500000"/>
    <x v="2"/>
    <d v="2023-12-07T00:00:00"/>
    <n v="4070.79646017699"/>
    <n v="1"/>
    <n v="4070.79646017699"/>
    <s v="Chris"/>
    <s v="Approved"/>
    <x v="0"/>
    <m/>
    <m/>
  </r>
  <r>
    <x v="3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21T00:00:00"/>
    <n v="12743.3628318584"/>
    <n v="1"/>
    <n v="12743.3628318584"/>
    <s v="Chris"/>
    <s v="Approved"/>
    <x v="0"/>
    <m/>
    <m/>
  </r>
  <r>
    <x v="3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12T00:00:00"/>
    <n v="12743.3628318584"/>
    <n v="1"/>
    <n v="12743.3628318584"/>
    <s v="Chris"/>
    <s v="Approved"/>
    <x v="0"/>
    <m/>
    <m/>
  </r>
  <r>
    <x v="3"/>
    <s v="MODI"/>
    <s v="Cartridge tank"/>
    <s v="130040670034715"/>
    <s v="Dongguan Wellsun Plastic"/>
    <n v="2023"/>
    <n v="12"/>
    <s v="DP"/>
    <d v="2024-11-01T00:00:00"/>
    <n v="32"/>
    <m/>
    <n v="0"/>
    <n v="1000000"/>
    <x v="3"/>
    <d v="2023-12-13T00:00:00"/>
    <n v="278761.06194690301"/>
    <n v="1"/>
    <n v="278761.06194690301"/>
    <s v="Chris"/>
    <s v="Approved"/>
    <x v="0"/>
    <m/>
    <m/>
  </r>
  <r>
    <x v="3"/>
    <s v="MODI"/>
    <s v="Cartridge tank"/>
    <s v="130040670034715"/>
    <s v="Dongguan Wellsun Plastic"/>
    <n v="2023"/>
    <n v="12"/>
    <s v="DP"/>
    <d v="2024-11-01T00:00:00"/>
    <n v="2"/>
    <m/>
    <n v="0"/>
    <n v="500000"/>
    <x v="2"/>
    <d v="2023-12-15T00:00:00"/>
    <n v="15044.2477876106"/>
    <n v="1"/>
    <n v="15044.2477876106"/>
    <s v="Chris"/>
    <s v="Approved"/>
    <x v="0"/>
    <m/>
    <m/>
  </r>
  <r>
    <x v="3"/>
    <s v="MODI"/>
    <s v="Cartridge tank"/>
    <s v="130040670034715"/>
    <s v="Dongguan Wellsun Plastic"/>
    <n v="2023"/>
    <n v="12"/>
    <s v="DP"/>
    <d v="2024-11-01T00:00:00"/>
    <n v="32"/>
    <m/>
    <n v="0"/>
    <n v="1000000"/>
    <x v="3"/>
    <d v="2023-12-15T00:00:00"/>
    <n v="20796.460176991201"/>
    <n v="1"/>
    <n v="20796.460176991201"/>
    <s v="Chris"/>
    <s v="Approved"/>
    <x v="0"/>
    <m/>
    <m/>
  </r>
  <r>
    <x v="3"/>
    <s v="MODI"/>
    <s v="Cartridge tank"/>
    <s v="130040670034715"/>
    <s v="Dongguan Wellsun Plastic"/>
    <n v="2023"/>
    <n v="12"/>
    <s v="DP"/>
    <d v="2024-11-01T00:00:00"/>
    <n v="2"/>
    <m/>
    <n v="0"/>
    <n v="500000"/>
    <x v="2"/>
    <d v="2023-12-27T00:00:00"/>
    <n v="6017.69911504425"/>
    <n v="1"/>
    <n v="6017.69911504425"/>
    <s v="Chris"/>
    <s v="Approved"/>
    <x v="0"/>
    <m/>
    <m/>
  </r>
  <r>
    <x v="3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27T00:00:00"/>
    <n v="54031.858407079599"/>
    <n v="1"/>
    <n v="54031.858407079599"/>
    <s v="Chris"/>
    <s v="Approved"/>
    <x v="0"/>
    <s v="检测费用"/>
    <m/>
  </r>
  <r>
    <x v="3"/>
    <s v="MODI"/>
    <s v="Cartridge tank"/>
    <s v="130040670034715"/>
    <s v="Dongguan Wellsun Plastic"/>
    <n v="2024"/>
    <n v="1"/>
    <s v="DP"/>
    <d v="2024-11-01T00:00:00"/>
    <n v="32"/>
    <m/>
    <n v="0"/>
    <n v="1000000"/>
    <x v="3"/>
    <d v="2024-01-10T00:00:00"/>
    <n v="24601.769911504402"/>
    <n v="1"/>
    <n v="24601.769911504402"/>
    <s v="Chris"/>
    <s v="Approved"/>
    <x v="0"/>
    <m/>
    <m/>
  </r>
  <r>
    <x v="3"/>
    <s v="MODI"/>
    <s v="Heater top cover"/>
    <s v="130040670021246"/>
    <s v="Dongguan Wellsun Plastic"/>
    <n v="2023"/>
    <n v="10"/>
    <s v="DP"/>
    <d v="2024-11-01T00:00:00"/>
    <n v="32"/>
    <n v="2552420"/>
    <n v="2552420"/>
    <n v="1000000"/>
    <x v="0"/>
    <d v="2023-10-26T00:00:00"/>
    <n v="600000"/>
    <n v="1"/>
    <n v="600000"/>
    <s v="Chris"/>
    <s v="Approved"/>
    <x v="0"/>
    <m/>
    <s v="OK, share with item 56"/>
  </r>
  <r>
    <x v="3"/>
    <s v="MODI"/>
    <s v="Heater top cover"/>
    <s v="130040670021246"/>
    <s v="Dongguan Wellsun Plastic"/>
    <n v="2023"/>
    <n v="10"/>
    <s v="DP"/>
    <d v="2024-11-01T00:00:00"/>
    <n v="2"/>
    <m/>
    <n v="0"/>
    <n v="500000"/>
    <x v="1"/>
    <d v="2023-10-26T00:00:00"/>
    <n v="57522.123893805299"/>
    <n v="1"/>
    <n v="57522.123893805299"/>
    <s v="Chris"/>
    <s v="Approved"/>
    <x v="0"/>
    <m/>
    <s v="OK, share with item 56"/>
  </r>
  <r>
    <x v="3"/>
    <s v="MODI"/>
    <s v="Heating holder"/>
    <s v="130040670034735"/>
    <s v="Dongguan Wellsun Plastic"/>
    <n v="2023"/>
    <n v="10"/>
    <s v="DP"/>
    <d v="2024-11-01T00:00:00"/>
    <n v="32"/>
    <n v="2348216"/>
    <n v="2348216"/>
    <n v="1000000"/>
    <x v="0"/>
    <d v="2023-10-26T00:00:00"/>
    <n v="600000"/>
    <n v="1"/>
    <n v="600000"/>
    <s v="Chris"/>
    <s v="Approved"/>
    <x v="0"/>
    <m/>
    <s v="OK, share with item 56"/>
  </r>
  <r>
    <x v="3"/>
    <s v="MODI"/>
    <s v="Heating holder"/>
    <s v="130040670034735"/>
    <s v="Dongguan Wellsun Plastic"/>
    <n v="2023"/>
    <n v="10"/>
    <s v="DP"/>
    <d v="2024-11-01T00:00:00"/>
    <n v="2"/>
    <m/>
    <n v="0"/>
    <n v="500000"/>
    <x v="1"/>
    <d v="2023-10-26T00:00:00"/>
    <n v="61946.902654867299"/>
    <n v="1"/>
    <n v="61946.902654867299"/>
    <s v="Chris"/>
    <s v="Approved"/>
    <x v="0"/>
    <m/>
    <s v="OK, share with item 56"/>
  </r>
  <r>
    <x v="3"/>
    <s v="MODI"/>
    <s v="Heating holder"/>
    <s v="130040670034735"/>
    <s v="Dongguan Wellsun Plastic"/>
    <n v="2023"/>
    <n v="11"/>
    <s v="DP"/>
    <d v="2024-11-01T00:00:00"/>
    <n v="2"/>
    <m/>
    <n v="0"/>
    <n v="500000"/>
    <x v="2"/>
    <d v="2023-11-14T00:00:00"/>
    <n v="10796.460176991201"/>
    <n v="1"/>
    <n v="10796.460176991201"/>
    <s v="Chris"/>
    <s v="Approved"/>
    <x v="0"/>
    <m/>
    <m/>
  </r>
  <r>
    <x v="3"/>
    <s v="MODI"/>
    <s v="Heating holder"/>
    <s v="130040670034735"/>
    <s v="Dongguan Wellsun Plastic"/>
    <n v="2023"/>
    <n v="12"/>
    <s v="DP"/>
    <d v="2024-11-01T00:00:00"/>
    <n v="2"/>
    <m/>
    <n v="0"/>
    <n v="500000"/>
    <x v="2"/>
    <d v="2023-12-15T00:00:00"/>
    <n v="6371.6814159291998"/>
    <n v="1"/>
    <n v="6371.6814159291998"/>
    <s v="Chris"/>
    <s v="Approved"/>
    <x v="0"/>
    <m/>
    <m/>
  </r>
  <r>
    <x v="4"/>
    <s v="MODI"/>
    <s v="Battery tube"/>
    <s v="130040660001514"/>
    <s v="Dongguan Wellsun Plastic"/>
    <n v="2022"/>
    <n v="11"/>
    <s v="DP"/>
    <d v="2024-11-01T00:00:00"/>
    <n v="16"/>
    <n v="978432"/>
    <n v="1956864"/>
    <n v="1000000"/>
    <x v="0"/>
    <d v="2022-11-09T00:00:00"/>
    <n v="546000"/>
    <n v="2"/>
    <n v="1092000"/>
    <s v="Chris"/>
    <s v="Approved"/>
    <x v="0"/>
    <m/>
    <m/>
  </r>
  <r>
    <x v="4"/>
    <s v="MODI"/>
    <s v="Mouth piece"/>
    <s v="13004013040453X"/>
    <s v="Dongguan Wellsun Plastic"/>
    <n v="2022"/>
    <n v="11"/>
    <s v="DP"/>
    <d v="2024-11-01T00:00:00"/>
    <n v="16"/>
    <n v="978432"/>
    <n v="1956864"/>
    <n v="1000000"/>
    <x v="0"/>
    <d v="2022-11-09T00:00:00"/>
    <n v="455000"/>
    <n v="2"/>
    <n v="910000"/>
    <s v="Chris"/>
    <s v="Approved"/>
    <x v="0"/>
    <m/>
    <m/>
  </r>
  <r>
    <x v="5"/>
    <s v="RCS POD"/>
    <s v="Cartridge Tube"/>
    <s v="130010390000214"/>
    <s v="Indonesia Wellsun Plastic"/>
    <n v="2022"/>
    <n v="6"/>
    <s v="DP"/>
    <d v="2024-11-01T00:00:00"/>
    <n v="16"/>
    <n v="1241856"/>
    <n v="21111552"/>
    <n v="1000000"/>
    <x v="0"/>
    <d v="2022-06-15T00:00:00"/>
    <n v="1401456.1143433638"/>
    <n v="17"/>
    <n v="23824753.943837184"/>
    <s v="Chris"/>
    <s v="Approved"/>
    <x v="0"/>
    <s v="印尼项目美金结算"/>
    <m/>
  </r>
  <r>
    <x v="5"/>
    <s v="RCS POD"/>
    <s v="Heating holder"/>
    <s v="130010390000215"/>
    <s v="Indonesia Wellsun Plastic"/>
    <n v="2022"/>
    <n v="6"/>
    <s v="DP"/>
    <d v="2024-11-01T00:00:00"/>
    <n v="32"/>
    <n v="3089786"/>
    <n v="21628502"/>
    <n v="1000000"/>
    <x v="0"/>
    <d v="2022-06-15T00:00:00"/>
    <n v="1374234.6733323566"/>
    <n v="7"/>
    <n v="9619642.713326497"/>
    <s v="Chris"/>
    <s v="Approved"/>
    <x v="0"/>
    <s v="印尼项目美金结算"/>
    <m/>
  </r>
  <r>
    <x v="5"/>
    <s v="RCS POD"/>
    <s v="Cartomizer Holder Tap"/>
    <s v="130010390000216"/>
    <s v="Indonesia Wellsun Plastic"/>
    <n v="2022"/>
    <n v="6"/>
    <s v="DP"/>
    <d v="2024-11-01T00:00:00"/>
    <n v="32"/>
    <n v="3075072"/>
    <n v="21525504"/>
    <n v="1000000"/>
    <x v="0"/>
    <d v="2022-06-15T00:00:00"/>
    <n v="748808.68131868378"/>
    <n v="7"/>
    <n v="5241660.7692307867"/>
    <s v="Chris"/>
    <s v="Approved"/>
    <x v="0"/>
    <s v="印尼项目美金结算"/>
    <m/>
  </r>
  <r>
    <x v="5"/>
    <s v="RCS POD"/>
    <s v="Heater top cover"/>
    <s v="130010390000221"/>
    <s v="Indonesia Wellsun Plastic"/>
    <n v="2022"/>
    <n v="6"/>
    <s v="DP"/>
    <d v="2024-11-01T00:00:00"/>
    <n v="32"/>
    <n v="3089786"/>
    <n v="21628502"/>
    <n v="1000000"/>
    <x v="0"/>
    <d v="2022-06-15T00:00:00"/>
    <n v="1358562.8679696072"/>
    <n v="7"/>
    <n v="9509940.07578725"/>
    <s v="Chris"/>
    <s v="Approved"/>
    <x v="0"/>
    <s v="印尼项目美金结算"/>
    <m/>
  </r>
  <r>
    <x v="6"/>
    <s v="RCS POD"/>
    <s v="Cartridge tank"/>
    <s v="130010670084791"/>
    <s v="Dongguan Wellsun Plastic"/>
    <n v="2024"/>
    <n v="6"/>
    <s v="DP"/>
    <d v="2024-11-01T00:00:00"/>
    <n v="2"/>
    <m/>
    <n v="0"/>
    <n v="500000"/>
    <x v="1"/>
    <d v="2024-06-11T00:00:00"/>
    <n v="81000"/>
    <n v="1"/>
    <n v="81000.000000000015"/>
    <s v="Chris"/>
    <s v="Approved"/>
    <x v="0"/>
    <m/>
    <s v="ok"/>
  </r>
  <r>
    <x v="6"/>
    <s v="RCS POD"/>
    <s v="Heater Holder"/>
    <s v="130010670071674"/>
    <s v="Dongguan Wellsun Plastic"/>
    <n v="2024"/>
    <n v="6"/>
    <s v="DP"/>
    <d v="2024-11-01T00:00:00"/>
    <n v="2"/>
    <m/>
    <n v="0"/>
    <n v="500000"/>
    <x v="1"/>
    <d v="2024-06-11T00:00:00"/>
    <n v="72000"/>
    <n v="1"/>
    <n v="72000"/>
    <s v="Chris"/>
    <s v="Approved"/>
    <x v="0"/>
    <m/>
    <s v="ok"/>
  </r>
  <r>
    <x v="6"/>
    <s v="RCS POD"/>
    <s v="Heater cover"/>
    <s v="130010670071675"/>
    <s v="Dongguan Wellsun Plastic"/>
    <n v="2024"/>
    <n v="6"/>
    <s v="DP"/>
    <d v="2024-11-01T00:00:00"/>
    <n v="2"/>
    <m/>
    <n v="0"/>
    <n v="500000"/>
    <x v="1"/>
    <d v="2024-06-11T00:00:00"/>
    <n v="72000"/>
    <n v="1"/>
    <n v="72000"/>
    <s v="Chris"/>
    <s v="Approved"/>
    <x v="0"/>
    <m/>
    <s v="ok"/>
  </r>
  <r>
    <x v="6"/>
    <s v="RCS POD"/>
    <s v="Heater Holder"/>
    <s v="130010670071674"/>
    <s v="Dongguan Wellsun Plastic"/>
    <n v="2024"/>
    <n v="7"/>
    <s v="DP"/>
    <d v="2024-11-01T00:00:00"/>
    <n v="2"/>
    <m/>
    <n v="0"/>
    <n v="500000"/>
    <x v="2"/>
    <d v="2024-07-01T00:00:00"/>
    <n v="4247.787610619469"/>
    <n v="1"/>
    <n v="4247.787610619469"/>
    <s v="Chris"/>
    <s v="Approved"/>
    <x v="0"/>
    <m/>
    <m/>
  </r>
  <r>
    <x v="6"/>
    <s v="RCS POD"/>
    <s v="Cartridge tank"/>
    <s v="130010670084791"/>
    <s v="Dongguan Wellsun Plastic"/>
    <n v="2024"/>
    <n v="8"/>
    <s v="DP"/>
    <d v="2024-11-01T00:00:00"/>
    <n v="2"/>
    <m/>
    <n v="0"/>
    <n v="500000"/>
    <x v="2"/>
    <d v="2024-08-02T00:00:00"/>
    <n v="6371.6814159292044"/>
    <n v="1"/>
    <n v="6371.6814159292044"/>
    <s v="Chris"/>
    <s v="Approved"/>
    <x v="0"/>
    <m/>
    <m/>
  </r>
  <r>
    <x v="6"/>
    <s v="RCS POD"/>
    <s v="Cartridge tank"/>
    <s v="130010670084791"/>
    <s v="Dongguan Wellsun Plastic"/>
    <n v="2024"/>
    <n v="9"/>
    <s v="DP"/>
    <d v="2024-11-01T00:00:00"/>
    <n v="2"/>
    <m/>
    <n v="0"/>
    <n v="500000"/>
    <x v="2"/>
    <d v="2024-09-11T00:00:00"/>
    <n v="3097.3451327433631"/>
    <n v="1"/>
    <n v="3097.3451327433631"/>
    <s v="Chris"/>
    <s v="Approved"/>
    <x v="0"/>
    <m/>
    <m/>
  </r>
  <r>
    <x v="6"/>
    <s v="RCS POD"/>
    <s v="Heater Holder"/>
    <s v="130010670071674"/>
    <s v="Dongguan Wellsun Plastic"/>
    <n v="2024"/>
    <n v="9"/>
    <s v="DP"/>
    <d v="2024-11-01T00:00:00"/>
    <n v="2"/>
    <m/>
    <n v="0"/>
    <n v="500000"/>
    <x v="2"/>
    <d v="2024-09-11T00:00:00"/>
    <n v="4247.787610619469"/>
    <n v="1"/>
    <n v="4247.787610619469"/>
    <s v="Chris"/>
    <s v="Approved"/>
    <x v="0"/>
    <m/>
    <m/>
  </r>
  <r>
    <x v="6"/>
    <s v="RCS POD"/>
    <s v="Cartridge tank"/>
    <s v="130010670084791"/>
    <s v="Dongguan Wellsun Plastic"/>
    <n v="2024"/>
    <n v="9"/>
    <s v="DP"/>
    <d v="2024-11-01T00:00:00"/>
    <n v="2"/>
    <m/>
    <n v="0"/>
    <n v="500000"/>
    <x v="2"/>
    <d v="2024-09-26T00:00:00"/>
    <n v="22654.867256637172"/>
    <n v="1"/>
    <n v="22654.867256637172"/>
    <s v="Chris"/>
    <s v="Approved"/>
    <x v="0"/>
    <m/>
    <m/>
  </r>
  <r>
    <x v="7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12T00:00:00"/>
    <n v="6371.6814159291998"/>
    <n v="1"/>
    <n v="6371.6814159291998"/>
    <s v="Chris"/>
    <s v="Approved"/>
    <x v="0"/>
    <m/>
    <m/>
  </r>
  <r>
    <x v="7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15T00:00:00"/>
    <n v="5575.2212389380502"/>
    <n v="1"/>
    <n v="5575.2212389380502"/>
    <s v="Chris"/>
    <s v="Approved"/>
    <x v="0"/>
    <m/>
    <m/>
  </r>
  <r>
    <x v="7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22T00:00:00"/>
    <n v="6637.1681415929197"/>
    <n v="1"/>
    <n v="6637.1681415929197"/>
    <s v="Chris"/>
    <s v="Approved"/>
    <x v="0"/>
    <m/>
    <m/>
  </r>
  <r>
    <x v="7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27T00:00:00"/>
    <n v="3982.30088495575"/>
    <n v="1"/>
    <n v="3982.30088495575"/>
    <s v="Chris"/>
    <s v="Approved"/>
    <x v="0"/>
    <m/>
    <m/>
  </r>
  <r>
    <x v="7"/>
    <s v="MODI"/>
    <s v="Button"/>
    <s v="130040670017669"/>
    <s v="Dongguan Wellsun Plastic"/>
    <n v="2024"/>
    <n v="4"/>
    <s v="DP"/>
    <d v="2024-11-01T00:00:00"/>
    <n v="2"/>
    <m/>
    <n v="0"/>
    <n v="500000"/>
    <x v="2"/>
    <d v="2024-04-16T00:00:00"/>
    <n v="4336.2831858407098"/>
    <n v="1"/>
    <n v="4336.2831858407098"/>
    <s v="Chris"/>
    <s v="Approved"/>
    <x v="0"/>
    <m/>
    <m/>
  </r>
  <r>
    <x v="7"/>
    <s v="MODI"/>
    <s v="Button"/>
    <s v="130040670017669"/>
    <s v="Dongguan Wellsun Plastic"/>
    <n v="2024"/>
    <n v="4"/>
    <s v="DP"/>
    <d v="2024-11-01T00:00:00"/>
    <n v="2"/>
    <m/>
    <n v="0"/>
    <n v="500000"/>
    <x v="2"/>
    <d v="2024-04-22T00:00:00"/>
    <n v="4513.2743362831898"/>
    <n v="1"/>
    <n v="4513.2743362831898"/>
    <s v="Chris"/>
    <s v="Approved"/>
    <x v="0"/>
    <m/>
    <m/>
  </r>
  <r>
    <x v="7"/>
    <s v="MODI"/>
    <s v="Bottom cover"/>
    <s v="130040670017656"/>
    <s v="Dongguan Wellsun Plastic"/>
    <n v="2023"/>
    <n v="10"/>
    <s v="DP"/>
    <d v="2024-11-01T00:00:00"/>
    <n v="2"/>
    <m/>
    <n v="0"/>
    <n v="500000"/>
    <x v="2"/>
    <d v="2023-10-31T00:00:00"/>
    <n v="27433.628318584098"/>
    <n v="1"/>
    <n v="27433.628318584098"/>
    <s v="Chris"/>
    <s v="Approved"/>
    <x v="0"/>
    <m/>
    <m/>
  </r>
  <r>
    <x v="7"/>
    <s v="MODI"/>
    <s v="Bottom cover"/>
    <s v="130040670017656"/>
    <s v="Dongguan Wellsun Plastic"/>
    <n v="2023"/>
    <n v="11"/>
    <s v="DP"/>
    <d v="2024-11-01T00:00:00"/>
    <n v="2"/>
    <m/>
    <n v="0"/>
    <n v="500000"/>
    <x v="2"/>
    <d v="2023-11-10T00:00:00"/>
    <n v="3982.30088495575"/>
    <n v="1"/>
    <n v="3982.30088495575"/>
    <s v="Chris"/>
    <s v="Approved"/>
    <x v="0"/>
    <m/>
    <m/>
  </r>
  <r>
    <x v="7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06T00:00:00"/>
    <n v="5575.2212389380502"/>
    <n v="1"/>
    <n v="5575.2212389380502"/>
    <s v="Chris"/>
    <s v="Approved"/>
    <x v="0"/>
    <m/>
    <m/>
  </r>
  <r>
    <x v="7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12T00:00:00"/>
    <n v="12743.3628318584"/>
    <n v="1"/>
    <n v="12743.3628318584"/>
    <s v="Chris"/>
    <s v="Approved"/>
    <x v="0"/>
    <m/>
    <m/>
  </r>
  <r>
    <x v="7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18T00:00:00"/>
    <n v="4955.7522123893796"/>
    <n v="1"/>
    <n v="4955.7522123893796"/>
    <s v="Chris"/>
    <s v="Approved"/>
    <x v="0"/>
    <m/>
    <m/>
  </r>
  <r>
    <x v="7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20T00:00:00"/>
    <n v="5752.2123893805301"/>
    <n v="1"/>
    <n v="5752.2123893805301"/>
    <s v="Chris"/>
    <s v="Approved"/>
    <x v="0"/>
    <m/>
    <m/>
  </r>
  <r>
    <x v="7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23T00:00:00"/>
    <n v="4513.2743362831898"/>
    <n v="1"/>
    <n v="4513.2743362831898"/>
    <s v="Chris"/>
    <s v="Approved"/>
    <x v="0"/>
    <m/>
    <m/>
  </r>
  <r>
    <x v="7"/>
    <s v="MODI"/>
    <s v="Battery module top cover"/>
    <s v="130040670017658"/>
    <s v="Dongguan Wellsun Plastic"/>
    <n v="2023"/>
    <n v="11"/>
    <s v="DP"/>
    <d v="2024-11-01T00:00:00"/>
    <n v="2"/>
    <m/>
    <n v="0"/>
    <n v="500000"/>
    <x v="2"/>
    <d v="2023-11-10T00:00:00"/>
    <n v="3274.3362831858399"/>
    <n v="1"/>
    <n v="3274.3362831858399"/>
    <s v="Chris"/>
    <s v="Approved"/>
    <x v="0"/>
    <m/>
    <m/>
  </r>
  <r>
    <x v="7"/>
    <s v="MODI"/>
    <s v="Battery module top cover"/>
    <s v="130040670017658"/>
    <s v="Dongguan Wellsun Plastic"/>
    <n v="2023"/>
    <n v="12"/>
    <s v="DP"/>
    <d v="2024-11-01T00:00:00"/>
    <n v="2"/>
    <m/>
    <n v="0"/>
    <n v="500000"/>
    <x v="2"/>
    <d v="2023-12-05T00:00:00"/>
    <n v="6371.6814159291998"/>
    <n v="1"/>
    <n v="6371.6814159291998"/>
    <s v="Chris"/>
    <s v="Approved"/>
    <x v="0"/>
    <m/>
    <m/>
  </r>
  <r>
    <x v="7"/>
    <s v="MODI"/>
    <s v="Battery module top cover"/>
    <s v="130040670017658"/>
    <s v="Dongguan Wellsun Plastic"/>
    <n v="2023"/>
    <n v="12"/>
    <s v="DP"/>
    <d v="2024-11-01T00:00:00"/>
    <n v="2"/>
    <m/>
    <n v="0"/>
    <n v="500000"/>
    <x v="2"/>
    <d v="2023-12-18T00:00:00"/>
    <n v="7699.1150442477901"/>
    <n v="1"/>
    <n v="7699.1150442477901"/>
    <s v="Chris"/>
    <s v="Approved"/>
    <x v="0"/>
    <m/>
    <m/>
  </r>
  <r>
    <x v="7"/>
    <s v="MODI"/>
    <s v="Battery module top cover"/>
    <s v="130040670017658"/>
    <s v="Dongguan Wellsun Plastic"/>
    <n v="2023"/>
    <n v="12"/>
    <s v="DP"/>
    <d v="2024-11-01T00:00:00"/>
    <n v="2"/>
    <m/>
    <n v="0"/>
    <n v="500000"/>
    <x v="2"/>
    <d v="2023-12-23T00:00:00"/>
    <n v="5486.7256637168102"/>
    <n v="1"/>
    <n v="5486.7256637168102"/>
    <s v="Chris"/>
    <s v="Approved"/>
    <x v="0"/>
    <m/>
    <m/>
  </r>
  <r>
    <x v="7"/>
    <s v="MODI"/>
    <s v="Bottom cover"/>
    <s v="130040670017656"/>
    <s v="Dongguan Wellsun Plastic"/>
    <n v="2024"/>
    <n v="1"/>
    <s v="DP"/>
    <d v="2024-11-01T00:00:00"/>
    <n v="2"/>
    <m/>
    <n v="0"/>
    <n v="500000"/>
    <x v="2"/>
    <d v="2024-01-26T00:00:00"/>
    <n v="7598.2300884955803"/>
    <n v="1"/>
    <n v="7598.2300884955803"/>
    <s v="Chris"/>
    <s v="Approved"/>
    <x v="0"/>
    <s v="检测费用"/>
    <m/>
  </r>
  <r>
    <x v="7"/>
    <s v="MODI"/>
    <s v="Battery module top cover"/>
    <s v="130040670017658"/>
    <s v="Dongguan Wellsun Plastic"/>
    <n v="2024"/>
    <n v="3"/>
    <s v="DP"/>
    <d v="2024-11-01T00:00:00"/>
    <n v="2"/>
    <m/>
    <n v="0"/>
    <n v="500000"/>
    <x v="2"/>
    <d v="2024-03-27T00:00:00"/>
    <n v="5752.2123893805301"/>
    <n v="1"/>
    <n v="5752.2123893805301"/>
    <s v="Chris"/>
    <s v="Approved"/>
    <x v="0"/>
    <m/>
    <m/>
  </r>
  <r>
    <x v="7"/>
    <s v="MODI"/>
    <s v="Heater top cover"/>
    <s v="/"/>
    <s v="Dongguan Wellsun Plastic"/>
    <n v="2024"/>
    <n v="1"/>
    <s v="DP"/>
    <d v="2024-11-01T00:00:00"/>
    <n v="2"/>
    <m/>
    <n v="0"/>
    <n v="500000"/>
    <x v="2"/>
    <d v="2024-01-29T00:00:00"/>
    <n v="6017.69911504425"/>
    <n v="1"/>
    <n v="6017.69911504425"/>
    <s v="Chris"/>
    <s v="Approved"/>
    <x v="0"/>
    <m/>
    <m/>
  </r>
  <r>
    <x v="7"/>
    <s v="MODI"/>
    <s v="Heater top cover"/>
    <s v="/"/>
    <s v="Dongguan Wellsun Plastic"/>
    <n v="2024"/>
    <n v="1"/>
    <s v="DP"/>
    <d v="2024-11-01T00:00:00"/>
    <n v="2"/>
    <m/>
    <n v="0"/>
    <n v="500000"/>
    <x v="2"/>
    <d v="2024-01-05T00:00:00"/>
    <n v="28318.5840707965"/>
    <n v="1"/>
    <n v="28318.5840707965"/>
    <s v="Chris"/>
    <s v="Approved"/>
    <x v="0"/>
    <m/>
    <m/>
  </r>
  <r>
    <x v="7"/>
    <s v="MODI"/>
    <s v="Heating holder"/>
    <s v="/"/>
    <s v="Dongguan Wellsun Plastic"/>
    <n v="2023"/>
    <n v="9"/>
    <s v="DP"/>
    <d v="2024-11-01T00:00:00"/>
    <n v="2"/>
    <m/>
    <n v="0"/>
    <n v="500000"/>
    <x v="2"/>
    <d v="2023-09-28T00:00:00"/>
    <n v="3539.8230088495602"/>
    <n v="1"/>
    <n v="3539.8230088495602"/>
    <s v="Chris"/>
    <s v="Approved"/>
    <x v="0"/>
    <m/>
    <m/>
  </r>
  <r>
    <x v="7"/>
    <s v="MODI"/>
    <s v="Inner bracket"/>
    <s v="130040670017662"/>
    <s v="Dongguan Wellsun Plastic"/>
    <n v="2023"/>
    <n v="11"/>
    <s v="DP"/>
    <d v="2024-11-01T00:00:00"/>
    <n v="2"/>
    <m/>
    <n v="0"/>
    <n v="500000"/>
    <x v="2"/>
    <d v="2023-11-10T00:00:00"/>
    <n v="10619.469026548701"/>
    <n v="1"/>
    <n v="10619.469026548701"/>
    <s v="Chris"/>
    <s v="Approved"/>
    <x v="0"/>
    <m/>
    <m/>
  </r>
  <r>
    <x v="7"/>
    <s v="MODI"/>
    <s v="Inner bracket"/>
    <s v="130040670017662"/>
    <s v="Dongguan Wellsun Plastic"/>
    <n v="2023"/>
    <n v="12"/>
    <s v="DP"/>
    <d v="2024-11-01T00:00:00"/>
    <n v="2"/>
    <m/>
    <n v="0"/>
    <n v="500000"/>
    <x v="2"/>
    <d v="2023-12-06T00:00:00"/>
    <n v="5132.7433628318604"/>
    <n v="1"/>
    <n v="5132.7433628318604"/>
    <s v="Chris"/>
    <s v="Approved"/>
    <x v="0"/>
    <m/>
    <m/>
  </r>
  <r>
    <x v="7"/>
    <s v="MODI"/>
    <s v="Inner bracket"/>
    <s v="130040670017662"/>
    <s v="Dongguan Wellsun Plastic"/>
    <n v="2024"/>
    <n v="1"/>
    <s v="DP"/>
    <d v="2024-11-01T00:00:00"/>
    <n v="2"/>
    <m/>
    <n v="0"/>
    <n v="500000"/>
    <x v="2"/>
    <d v="2024-01-08T00:00:00"/>
    <n v="6371.6814159291998"/>
    <n v="1"/>
    <n v="6371.6814159291998"/>
    <s v="Chris"/>
    <s v="Approved"/>
    <x v="0"/>
    <m/>
    <m/>
  </r>
  <r>
    <x v="7"/>
    <s v="MODI"/>
    <s v="Cartridge tank"/>
    <s v="/"/>
    <s v="Dongguan Wellsun Plastic"/>
    <n v="2023"/>
    <n v="11"/>
    <s v="DP"/>
    <d v="2024-11-01T00:00:00"/>
    <n v="2"/>
    <m/>
    <n v="0"/>
    <n v="500000"/>
    <x v="2"/>
    <d v="2023-11-13T00:00:00"/>
    <n v="7522.1238938053102"/>
    <n v="1"/>
    <n v="7522.1238938053102"/>
    <s v="Chris"/>
    <s v="Approved"/>
    <x v="0"/>
    <m/>
    <m/>
  </r>
  <r>
    <x v="7"/>
    <s v="MODI"/>
    <s v="Cartridge tank"/>
    <s v="/"/>
    <s v="Dongguan Wellsun Plastic"/>
    <n v="2023"/>
    <n v="11"/>
    <s v="DP"/>
    <d v="2024-11-01T00:00:00"/>
    <n v="2"/>
    <m/>
    <n v="0"/>
    <n v="500000"/>
    <x v="2"/>
    <d v="2023-11-13T00:00:00"/>
    <n v="21238.938053097299"/>
    <n v="1"/>
    <n v="21238.938053097299"/>
    <s v="Chris"/>
    <s v="Approved"/>
    <x v="0"/>
    <m/>
    <m/>
  </r>
  <r>
    <x v="7"/>
    <s v="MODI"/>
    <s v="Inner bracket"/>
    <s v="130040670017662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x v="0"/>
    <m/>
    <s v="ok"/>
  </r>
  <r>
    <x v="7"/>
    <s v="MODI"/>
    <s v="Button"/>
    <s v="130040670017669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x v="0"/>
    <m/>
    <s v="OK, share with item 131"/>
  </r>
  <r>
    <x v="7"/>
    <s v="MODI"/>
    <s v="Battery module top cover"/>
    <s v="130040670017658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x v="0"/>
    <m/>
    <s v="OK, share with item 131"/>
  </r>
  <r>
    <x v="7"/>
    <s v="MODI"/>
    <s v="Cartridge tank"/>
    <s v="/"/>
    <s v="Dongguan Wellsun Plastic"/>
    <n v="2023"/>
    <n v="9"/>
    <s v="DP"/>
    <d v="2024-11-01T00:00:00"/>
    <n v="2"/>
    <m/>
    <n v="0"/>
    <n v="500000"/>
    <x v="1"/>
    <d v="2023-09-22T00:00:00"/>
    <n v="62831.858407079599"/>
    <n v="1"/>
    <n v="62831.858407079599"/>
    <s v="Chris"/>
    <s v="Approved"/>
    <x v="0"/>
    <m/>
    <s v="OK, share with item 131"/>
  </r>
  <r>
    <x v="7"/>
    <s v="MODI"/>
    <s v="Heating holder"/>
    <s v="/"/>
    <s v="Dongguan Wellsun Plastic"/>
    <n v="2023"/>
    <n v="9"/>
    <s v="DP"/>
    <d v="2024-11-01T00:00:00"/>
    <n v="2"/>
    <m/>
    <n v="0"/>
    <n v="500000"/>
    <x v="1"/>
    <d v="2023-09-22T00:00:00"/>
    <n v="61946.902654867299"/>
    <n v="1"/>
    <n v="61946.902654867299"/>
    <s v="Chris"/>
    <s v="Approved"/>
    <x v="0"/>
    <m/>
    <s v="OK, share with item 131"/>
  </r>
  <r>
    <x v="7"/>
    <s v="MODI"/>
    <s v="Heater top cover"/>
    <s v="/"/>
    <s v="Dongguan Wellsun Plastic"/>
    <n v="2023"/>
    <n v="9"/>
    <s v="DP"/>
    <d v="2024-11-01T00:00:00"/>
    <n v="2"/>
    <m/>
    <n v="0"/>
    <n v="500000"/>
    <x v="1"/>
    <d v="2023-09-22T00:00:00"/>
    <n v="57522.123893805299"/>
    <n v="1"/>
    <n v="57522.123893805299"/>
    <s v="Chris"/>
    <s v="Approved"/>
    <x v="0"/>
    <m/>
    <s v="OK, share with item 131"/>
  </r>
  <r>
    <x v="7"/>
    <s v="MODI"/>
    <s v="Bottom cover"/>
    <s v="130040670017656"/>
    <s v="Dongguan Wellsun Plastic"/>
    <n v="2023"/>
    <n v="9"/>
    <s v="DP"/>
    <d v="2024-11-01T00:00:00"/>
    <n v="2"/>
    <m/>
    <n v="0"/>
    <n v="500000"/>
    <x v="1"/>
    <d v="2023-09-22T00:00:00"/>
    <n v="57522.123893805299"/>
    <n v="1"/>
    <n v="57522.123893805299"/>
    <s v="Chris"/>
    <s v="Approved"/>
    <x v="0"/>
    <m/>
    <s v="OK, share with item 131"/>
  </r>
  <r>
    <x v="7"/>
    <s v="MODI"/>
    <s v="Inner bracket"/>
    <s v="130040670017662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x v="0"/>
    <m/>
    <s v="ok"/>
  </r>
  <r>
    <x v="3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13T00:00:00"/>
    <n v="8500"/>
    <n v="1"/>
    <n v="8500"/>
    <s v="Chris"/>
    <s v="Approved"/>
    <x v="0"/>
    <m/>
    <m/>
  </r>
  <r>
    <x v="3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13T00:00:00"/>
    <n v="24000"/>
    <n v="1"/>
    <n v="24000"/>
    <s v="Chris"/>
    <s v="Approved"/>
    <x v="0"/>
    <m/>
    <m/>
  </r>
  <r>
    <x v="8"/>
    <s v="RCS DEVICE"/>
    <s v="Bottom Plug"/>
    <s v="130010670092441"/>
    <s v="Dongguan Wellsun Plastic"/>
    <n v="2024"/>
    <n v="9"/>
    <s v="DP"/>
    <d v="2024-11-01T00:00:00"/>
    <n v="2"/>
    <m/>
    <n v="0"/>
    <n v="500000"/>
    <x v="1"/>
    <d v="2024-09-11T00:00:00"/>
    <n v="28318.5840707965"/>
    <n v="1"/>
    <n v="28318.5840707965"/>
    <s v="Chris"/>
    <s v="Approved"/>
    <x v="0"/>
    <m/>
    <m/>
  </r>
  <r>
    <x v="5"/>
    <s v="RCS POD"/>
    <s v="Cartridge Tube"/>
    <s v="130010390000214"/>
    <s v="Indonesia Wellsun Plastic"/>
    <n v="2024"/>
    <n v="10"/>
    <s v="POA"/>
    <d v="2024-11-14T00:00:00"/>
    <n v="16"/>
    <n v="1241856"/>
    <n v="16144128"/>
    <n v="1000000"/>
    <x v="0"/>
    <d v="2024-10-28T00:00:00"/>
    <n v="669240"/>
    <n v="13"/>
    <n v="8700120"/>
    <s v="Chris"/>
    <s v="Approved"/>
    <x v="0"/>
    <s v="印尼项目美金结算"/>
    <s v="ok"/>
  </r>
  <r>
    <x v="5"/>
    <s v="RCS POD"/>
    <s v="Heating holder"/>
    <s v="130010390000215"/>
    <s v="Indonesia Wellsun Plastic"/>
    <n v="2024"/>
    <n v="10"/>
    <s v="POA"/>
    <d v="2024-11-14T00:00:00"/>
    <n v="32"/>
    <n v="3089786"/>
    <n v="15448930"/>
    <n v="1000000"/>
    <x v="0"/>
    <d v="2024-10-28T00:00:00"/>
    <n v="828713.60000000009"/>
    <n v="5"/>
    <n v="4143568.0000000005"/>
    <s v="Chris"/>
    <s v="Approved"/>
    <x v="0"/>
    <s v="印尼项目美金结算"/>
    <s v="ok"/>
  </r>
  <r>
    <x v="5"/>
    <s v="RCS POD"/>
    <s v="Cartomizer Holder Tap"/>
    <s v="130010390000216"/>
    <s v="Indonesia Wellsun Plastic"/>
    <n v="2024"/>
    <n v="10"/>
    <s v="POA"/>
    <d v="2024-11-14T00:00:00"/>
    <n v="32"/>
    <n v="3075072"/>
    <n v="18450432"/>
    <n v="1000000"/>
    <x v="0"/>
    <d v="2024-10-28T00:00:00"/>
    <n v="643864.65"/>
    <n v="6"/>
    <n v="3863187.9000000004"/>
    <s v="Chris"/>
    <s v="Approved"/>
    <x v="0"/>
    <s v="印尼项目美金结算"/>
    <s v="ok"/>
  </r>
  <r>
    <x v="5"/>
    <s v="RCS POD"/>
    <s v="Heater top cover"/>
    <s v="130010390000221"/>
    <s v="Indonesia Wellsun Plastic"/>
    <n v="2024"/>
    <n v="10"/>
    <s v="POA"/>
    <d v="2024-11-14T00:00:00"/>
    <n v="32"/>
    <n v="3089786"/>
    <n v="15448930"/>
    <n v="1000000"/>
    <x v="0"/>
    <d v="2024-10-28T00:00:00"/>
    <n v="828713.60000000009"/>
    <n v="5"/>
    <n v="4143568.0000000005"/>
    <s v="Chris"/>
    <s v="Approved"/>
    <x v="0"/>
    <s v="印尼项目美金结算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9397A-6572-4890-8F0E-A8939BA085A4}" name="PivotTable8" cacheId="31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1" firstHeaderRow="0" firstDataRow="1" firstDataCol="1" rowPageCount="2" colPageCount="1"/>
  <pivotFields count="31">
    <pivotField axis="axisRow" showAll="0">
      <items count="7">
        <item x="5"/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Page" multipleItemSelectionAllowed="1" showAll="0">
      <items count="13">
        <item h="1" x="7"/>
        <item h="1" x="11"/>
        <item h="1" x="6"/>
        <item h="1" x="5"/>
        <item h="1" x="4"/>
        <item h="1" x="3"/>
        <item h="1" x="2"/>
        <item h="1" x="1"/>
        <item h="1" x="0"/>
        <item h="1" x="10"/>
        <item h="1" x="9"/>
        <item x="8"/>
        <item t="default"/>
      </items>
    </pivotField>
    <pivotField numFmtId="14" showAll="0"/>
    <pivotField showAll="0"/>
    <pivotField showAll="0"/>
    <pivotField showAll="0"/>
    <pivotField showAll="0"/>
    <pivotField showAll="0"/>
    <pivotField numFmtId="37" showAll="0"/>
    <pivotField numFmtId="175" showAll="0"/>
    <pivotField numFmtId="172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hier="-1"/>
    <pageField fld="8" hier="-1"/>
  </pageFields>
  <dataFields count="3">
    <dataField name="Sum of Total Capex Cost" fld="19" baseField="0" baseItem="0"/>
    <dataField name="Sum of Remaining Capex Cost" fld="20" baseField="0" baseItem="0"/>
    <dataField name="Sum of Total Spend" fld="27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2B89D-BECC-43AD-B646-171A1DBF8835}" name="PivotTable9" cacheId="31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1" firstHeaderRow="1" firstDataRow="1" firstDataCol="1" rowPageCount="2" colPageCount="1"/>
  <pivotFields count="23">
    <pivotField axis="axisRow" showAll="0">
      <items count="10">
        <item x="5"/>
        <item x="2"/>
        <item x="1"/>
        <item x="4"/>
        <item x="6"/>
        <item x="0"/>
        <item x="8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3" showAll="0"/>
    <pivotField numFmtId="3" showAll="0"/>
    <pivotField axis="axisPage" multipleItemSelectionAllowed="1" showAll="0">
      <items count="5">
        <item x="0"/>
        <item x="3"/>
        <item h="1" x="1"/>
        <item h="1" x="2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5"/>
    </i>
    <i>
      <x v="7"/>
    </i>
    <i t="grand">
      <x/>
    </i>
  </rowItems>
  <colItems count="1">
    <i/>
  </colItems>
  <pageFields count="2">
    <pageField fld="13" hier="-1"/>
    <pageField fld="20" hier="-1"/>
  </pageFields>
  <dataFields count="1">
    <dataField name="Sum of Total Tool cost" fld="17" baseField="0" baseItem="0" numFmtId="165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F7389-602B-4449-B336-B2B1FE91FA41}" name="PivotTable1" cacheId="3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3" showAll="0"/>
    <pivotField numFmtId="3" showAll="0"/>
    <pivotField axis="axisCol" showAll="0">
      <items count="5">
        <item x="0"/>
        <item x="3"/>
        <item x="1"/>
        <item x="2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Tool cost" fld="17" baseField="0" baseItem="0" numFmtId="168"/>
  </dataFields>
  <formats count="6">
    <format dxfId="2">
      <pivotArea outline="0" collapsedLevelsAreSubtotals="1" fieldPosition="0"/>
    </format>
    <format dxfId="3">
      <pivotArea dataOnly="0" labelOnly="1" fieldPosition="0">
        <references count="1">
          <reference field="13" count="0"/>
        </references>
      </pivotArea>
    </format>
    <format dxfId="4">
      <pivotArea dataOnly="0" labelOnly="1" grandCol="1" outline="0" fieldPosition="0"/>
    </format>
    <format dxfId="5">
      <pivotArea outline="0" collapsedLevelsAreSubtotals="1" fieldPosition="0"/>
    </format>
    <format dxfId="6">
      <pivotArea dataOnly="0" labelOnly="1" fieldPosition="0">
        <references count="1">
          <reference field="13" count="0"/>
        </references>
      </pivotArea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C706D-D2A6-46B6-8E0A-19882434F13A}" name="Table1" displayName="Table1" ref="A3:W11" totalsRowShown="0">
  <autoFilter ref="A3:W11" xr:uid="{04BC706D-D2A6-46B6-8E0A-19882434F13A}"/>
  <tableColumns count="23">
    <tableColumn id="1" xr3:uid="{8F53D96B-DAC1-4DC7-88EE-537791EBA688}" name="Project"/>
    <tableColumn id="2" xr3:uid="{4A5B2C29-C16F-4FAC-B2F9-EC300BDED2DD}" name="Product Category"/>
    <tableColumn id="3" xr3:uid="{C81E2DB8-600D-4C1F-AF59-BC838001F72C}" name="Part Name"/>
    <tableColumn id="4" xr3:uid="{D9FA6E90-0315-49BA-92C7-2F1B73E7CA3C}" name="Part No."/>
    <tableColumn id="5" xr3:uid="{49BCAE19-7D11-4A0A-90E2-A09B33F1BDBC}" name="Supplier "/>
    <tableColumn id="6" xr3:uid="{07B37AAD-0CC4-4881-947C-08E5296387C6}" name="Year"/>
    <tableColumn id="7" xr3:uid="{57E43253-A110-48EC-A7F0-5AF254EED107}" name="Month"/>
    <tableColumn id="8" xr3:uid="{90A8BF0F-89C0-494D-9AEB-6173A97F487B}" name="Stage"/>
    <tableColumn id="9" xr3:uid="{2C8E3773-0EB8-4B17-AC53-D8AB66AB146C}" name="Data Submit Date" dataDxfId="1"/>
    <tableColumn id="10" xr3:uid="{79A34AA3-5A70-46B4-A44B-D27FB41A25D5}" name="Cavity"/>
    <tableColumn id="11" xr3:uid="{12A2D56E-2821-455D-BA3B-0C139BB8E6CB}" name="Tooling Capacity Per Month"/>
    <tableColumn id="12" xr3:uid="{35AB9FFB-FAD4-4FA3-A477-03D5E153AE39}" name="Total Capacity Per Month"/>
    <tableColumn id="13" xr3:uid="{E746261E-BBFD-4918-87D1-407A802E69F8}" name="Tooling life"/>
    <tableColumn id="14" xr3:uid="{4741B939-942A-4DE4-90AE-C90542466134}" name="Tool type"/>
    <tableColumn id="15" xr3:uid="{43369F72-1939-4295-8972-396091DC1236}" name="Kick off date" dataDxfId="0"/>
    <tableColumn id="16" xr3:uid="{E563DDE6-999A-4E77-BF59-5D08BAA17DAD}" name="Tool Unit cost"/>
    <tableColumn id="17" xr3:uid="{120FE983-62F4-49CF-B863-D20308806360}" name="Q'ty"/>
    <tableColumn id="18" xr3:uid="{6884BDB0-3FD3-4581-870B-B8E2FAFAB723}" name="Total Tool cost"/>
    <tableColumn id="19" xr3:uid="{CC2AC263-6CCE-4908-A9FD-B564DBD9687A}" name="Requested by Whom"/>
    <tableColumn id="20" xr3:uid="{3C2895DD-EA1E-4BD6-B283-71ECFF24D45E}" name="Approval Status"/>
    <tableColumn id="21" xr3:uid="{712C9BCA-192E-4FEC-AC03-E37F7672C619}" name="Payment Status"/>
    <tableColumn id="22" xr3:uid="{3790BF9F-DC4B-4EDD-AAB7-53AAF9B2928D}" name="Remark"/>
    <tableColumn id="23" xr3:uid="{CD93EB75-4053-4F46-AED4-0B9FD3C0C3F9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" dT="2025-01-02T08:45:32.51" personId="{257C19C0-EE42-4AD1-843A-8CD762AC6CEE}" id="{D64B31B5-537A-4D80-8C5A-07276242A151}">
    <text>Follow with the description in latest 2D drawings.</text>
  </threadedComment>
  <threadedComment ref="AA3" dT="2025-01-07T02:03:59.76" personId="{257C19C0-EE42-4AD1-843A-8CD762AC6CEE}" id="{5C2208E1-2E66-4BE3-8AD4-A1AC5FC45B8B}">
    <text>Painting, anodizing, printing or others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A57D-CB76-4A3D-896B-50F5D4FAB099}">
  <dimension ref="A1:D11"/>
  <sheetViews>
    <sheetView workbookViewId="0">
      <selection activeCell="H10" sqref="H10"/>
    </sheetView>
  </sheetViews>
  <sheetFormatPr defaultRowHeight="14.45"/>
  <cols>
    <col min="1" max="1" width="17.125" bestFit="1" customWidth="1"/>
    <col min="2" max="2" width="21.375" bestFit="1" customWidth="1"/>
    <col min="3" max="3" width="25.875" bestFit="1" customWidth="1"/>
    <col min="4" max="4" width="17.125" bestFit="1" customWidth="1"/>
  </cols>
  <sheetData>
    <row r="1" spans="1:4">
      <c r="A1" s="130" t="s">
        <v>0</v>
      </c>
      <c r="B1" s="138">
        <v>2024</v>
      </c>
    </row>
    <row r="2" spans="1:4">
      <c r="A2" s="130" t="s">
        <v>1</v>
      </c>
      <c r="B2" s="138">
        <v>12</v>
      </c>
    </row>
    <row r="4" spans="1:4">
      <c r="A4" s="130" t="s">
        <v>2</v>
      </c>
      <c r="B4" t="s">
        <v>3</v>
      </c>
      <c r="C4" t="s">
        <v>4</v>
      </c>
      <c r="D4" t="s">
        <v>5</v>
      </c>
    </row>
    <row r="5" spans="1:4">
      <c r="A5" s="138" t="s">
        <v>6</v>
      </c>
      <c r="B5" s="140">
        <v>38686057.426394477</v>
      </c>
      <c r="C5" s="140">
        <v>-7734905.75</v>
      </c>
      <c r="D5" s="140">
        <v>8900371.8947000001</v>
      </c>
    </row>
    <row r="6" spans="1:4">
      <c r="A6" s="138" t="s">
        <v>7</v>
      </c>
      <c r="B6" s="140">
        <v>4690000</v>
      </c>
      <c r="C6" s="140">
        <v>4543540.0025000004</v>
      </c>
      <c r="D6" s="140">
        <v>99432.691350000008</v>
      </c>
    </row>
    <row r="7" spans="1:4">
      <c r="A7" s="138" t="s">
        <v>8</v>
      </c>
      <c r="B7" s="140">
        <v>433248</v>
      </c>
      <c r="C7" s="140">
        <v>409189.71750000003</v>
      </c>
      <c r="D7" s="140">
        <v>63442.653500000008</v>
      </c>
    </row>
    <row r="8" spans="1:4">
      <c r="A8" s="138" t="s">
        <v>9</v>
      </c>
      <c r="B8" s="140">
        <v>2002000</v>
      </c>
      <c r="C8" s="140">
        <v>1568484.1103749999</v>
      </c>
      <c r="D8" s="140">
        <v>351177.14189999999</v>
      </c>
    </row>
    <row r="9" spans="1:4">
      <c r="A9" s="138" t="s">
        <v>10</v>
      </c>
      <c r="B9" s="140">
        <v>3111000</v>
      </c>
      <c r="C9" s="140">
        <v>2450172.47015</v>
      </c>
      <c r="D9" s="140">
        <v>1145092.8684</v>
      </c>
    </row>
    <row r="10" spans="1:4">
      <c r="A10" s="138" t="s">
        <v>11</v>
      </c>
      <c r="B10" s="140">
        <v>3283716.5044247792</v>
      </c>
      <c r="C10" s="140">
        <v>2223150.2302247789</v>
      </c>
      <c r="D10" s="140">
        <v>158638.47499999998</v>
      </c>
    </row>
    <row r="11" spans="1:4">
      <c r="A11" s="138" t="s">
        <v>12</v>
      </c>
      <c r="B11" s="140">
        <v>52206021.930819258</v>
      </c>
      <c r="C11" s="140">
        <v>3459630.7807497792</v>
      </c>
      <c r="D11" s="140">
        <v>10718155.724849999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AF441"/>
  <sheetViews>
    <sheetView zoomScale="84" zoomScaleNormal="84" workbookViewId="0">
      <pane xSplit="4" ySplit="22" topLeftCell="N23" activePane="bottomRight" state="frozen"/>
      <selection pane="bottomRight" activeCell="T27" sqref="T27"/>
      <selection pane="bottomLeft" activeCell="A23" sqref="A23"/>
      <selection pane="topRight" activeCell="E1" sqref="E1"/>
    </sheetView>
  </sheetViews>
  <sheetFormatPr defaultColWidth="8.75" defaultRowHeight="14.45"/>
  <cols>
    <col min="1" max="1" width="6.5" style="5" customWidth="1"/>
    <col min="2" max="2" width="21.5" style="45" customWidth="1"/>
    <col min="3" max="3" width="17.25" style="5" customWidth="1"/>
    <col min="4" max="4" width="24.75" style="5" customWidth="1"/>
    <col min="5" max="5" width="14.125" style="5" customWidth="1"/>
    <col min="6" max="6" width="27.5" style="5" customWidth="1"/>
    <col min="7" max="7" width="17.75" style="5" customWidth="1"/>
    <col min="8" max="9" width="14.125" style="5" customWidth="1"/>
    <col min="10" max="10" width="14.125" style="107" customWidth="1"/>
    <col min="11" max="11" width="18.125" style="5" customWidth="1"/>
    <col min="12" max="12" width="14.125" style="7" customWidth="1"/>
    <col min="13" max="14" width="14.125" style="46" customWidth="1"/>
    <col min="15" max="15" width="13.5" style="46" customWidth="1"/>
    <col min="16" max="16" width="17.125" style="46" customWidth="1"/>
    <col min="17" max="17" width="17.125" style="98" customWidth="1"/>
    <col min="18" max="18" width="17.125" style="102" customWidth="1"/>
    <col min="19" max="19" width="14.125" style="47" customWidth="1"/>
    <col min="20" max="20" width="14.125" style="141" customWidth="1"/>
    <col min="21" max="22" width="14.125" style="133" customWidth="1"/>
    <col min="23" max="23" width="20.5" style="5" customWidth="1"/>
    <col min="24" max="24" width="37.125" style="126" customWidth="1"/>
    <col min="25" max="27" width="14.125" style="5" customWidth="1"/>
    <col min="28" max="28" width="14.125" style="49" customWidth="1"/>
    <col min="29" max="29" width="14.125" style="48" customWidth="1"/>
    <col min="30" max="30" width="14.125" style="49" customWidth="1"/>
    <col min="31" max="31" width="14.125" style="47" customWidth="1"/>
    <col min="32" max="32" width="16.125" style="5" customWidth="1"/>
    <col min="33" max="16384" width="8.75" style="5"/>
  </cols>
  <sheetData>
    <row r="1" spans="2:32" ht="18.600000000000001">
      <c r="B1" s="50" t="s">
        <v>13</v>
      </c>
      <c r="C1" s="51" t="s">
        <v>14</v>
      </c>
      <c r="D1" s="51" t="s">
        <v>15</v>
      </c>
      <c r="E1" s="52" t="s">
        <v>16</v>
      </c>
      <c r="F1" s="51" t="s">
        <v>17</v>
      </c>
      <c r="G1" s="53" t="s">
        <v>18</v>
      </c>
      <c r="H1" s="54"/>
      <c r="I1" s="54"/>
      <c r="J1" s="106"/>
      <c r="K1" s="43"/>
      <c r="L1" s="43"/>
    </row>
    <row r="2" spans="2:32" ht="17.45">
      <c r="C2" s="55"/>
      <c r="D2" s="56" t="s">
        <v>19</v>
      </c>
      <c r="E2" s="55"/>
      <c r="F2" s="55"/>
      <c r="G2" s="55"/>
      <c r="H2" s="55"/>
    </row>
    <row r="3" spans="2:32" s="43" customFormat="1" ht="34.5" customHeight="1">
      <c r="B3" s="16" t="s">
        <v>20</v>
      </c>
      <c r="C3" s="26" t="s">
        <v>21</v>
      </c>
      <c r="D3" s="16" t="s">
        <v>22</v>
      </c>
      <c r="E3" s="16" t="s">
        <v>23</v>
      </c>
      <c r="F3" s="16" t="s">
        <v>24</v>
      </c>
      <c r="G3" s="16" t="s">
        <v>25</v>
      </c>
      <c r="H3" s="16" t="s">
        <v>26</v>
      </c>
      <c r="I3" s="16" t="s">
        <v>0</v>
      </c>
      <c r="J3" s="16" t="s">
        <v>1</v>
      </c>
      <c r="K3" s="63" t="s">
        <v>27</v>
      </c>
      <c r="L3" s="26" t="s">
        <v>28</v>
      </c>
      <c r="M3" s="64" t="s">
        <v>29</v>
      </c>
      <c r="N3" s="64" t="s">
        <v>30</v>
      </c>
      <c r="O3" s="64" t="s">
        <v>31</v>
      </c>
      <c r="P3" s="65" t="s">
        <v>32</v>
      </c>
      <c r="Q3" s="99" t="s">
        <v>33</v>
      </c>
      <c r="R3" s="103" t="s">
        <v>34</v>
      </c>
      <c r="S3" s="70" t="s">
        <v>35</v>
      </c>
      <c r="T3" s="142" t="s">
        <v>36</v>
      </c>
      <c r="U3" s="134" t="s">
        <v>37</v>
      </c>
      <c r="V3" s="134" t="s">
        <v>38</v>
      </c>
      <c r="W3" s="120" t="s">
        <v>39</v>
      </c>
      <c r="X3" s="127" t="s">
        <v>40</v>
      </c>
      <c r="Y3" s="72" t="s">
        <v>41</v>
      </c>
      <c r="Z3" s="72" t="s">
        <v>42</v>
      </c>
      <c r="AA3" s="147" t="s">
        <v>43</v>
      </c>
      <c r="AB3" s="72" t="s">
        <v>44</v>
      </c>
      <c r="AC3" s="71" t="s">
        <v>45</v>
      </c>
      <c r="AD3" s="72" t="s">
        <v>46</v>
      </c>
      <c r="AE3" s="72" t="s">
        <v>47</v>
      </c>
      <c r="AF3" s="16" t="s">
        <v>48</v>
      </c>
    </row>
    <row r="4" spans="2:32" s="44" customFormat="1" ht="29.25" hidden="1" customHeight="1">
      <c r="B4" s="19" t="s">
        <v>10</v>
      </c>
      <c r="C4" s="40" t="str">
        <f>VLOOKUP(B4,[1]Sheet1!$A:$B,2,0)</f>
        <v>RCS DEVICE</v>
      </c>
      <c r="D4" s="57" t="s">
        <v>49</v>
      </c>
      <c r="E4" s="90" t="s">
        <v>50</v>
      </c>
      <c r="F4" s="57" t="s">
        <v>51</v>
      </c>
      <c r="G4" s="57"/>
      <c r="H4" s="58" t="s">
        <v>52</v>
      </c>
      <c r="I4" s="57">
        <v>2024</v>
      </c>
      <c r="J4" s="57">
        <v>9</v>
      </c>
      <c r="K4" s="29">
        <v>45618</v>
      </c>
      <c r="L4" s="66"/>
      <c r="M4" s="67">
        <v>1.345</v>
      </c>
      <c r="N4" s="67">
        <f>M4+O4</f>
        <v>1.3862999999999999</v>
      </c>
      <c r="O4" s="67">
        <v>4.1300000000000003E-2</v>
      </c>
      <c r="P4" s="68">
        <f t="shared" ref="P4:P13" si="0">L4*O4</f>
        <v>0</v>
      </c>
      <c r="Q4" s="100">
        <v>1</v>
      </c>
      <c r="R4" s="104">
        <f>Q4*M4</f>
        <v>1.345</v>
      </c>
      <c r="S4" s="73">
        <v>811850</v>
      </c>
      <c r="T4" s="73">
        <f t="shared" ref="T4:T12" si="1">S4+T5</f>
        <v>4210244</v>
      </c>
      <c r="U4" s="74">
        <v>1100000</v>
      </c>
      <c r="V4" s="74">
        <f>U4-O4*T4</f>
        <v>926116.92280000006</v>
      </c>
      <c r="W4" s="57" t="s">
        <v>53</v>
      </c>
      <c r="X4" s="128" t="s">
        <v>54</v>
      </c>
      <c r="Y4" s="75">
        <v>9.1999999999999993</v>
      </c>
      <c r="Z4" s="75"/>
      <c r="AA4" s="75" t="s">
        <v>55</v>
      </c>
      <c r="AB4" s="76">
        <v>0.85170000000000001</v>
      </c>
      <c r="AC4" s="74">
        <f>N4*S4</f>
        <v>1125467.6549999998</v>
      </c>
      <c r="AD4" s="81">
        <f>AB4*S4</f>
        <v>691452.64500000002</v>
      </c>
      <c r="AE4" s="73">
        <f>S4*Y4/1000</f>
        <v>7469.0199999999986</v>
      </c>
      <c r="AF4" s="82" t="s">
        <v>56</v>
      </c>
    </row>
    <row r="5" spans="2:32" s="44" customFormat="1" hidden="1">
      <c r="B5" s="19" t="s">
        <v>10</v>
      </c>
      <c r="C5" s="40" t="str">
        <f>VLOOKUP(B5,[1]Sheet1!$A:$B,2,0)</f>
        <v>RCS DEVICE</v>
      </c>
      <c r="D5" s="57" t="s">
        <v>49</v>
      </c>
      <c r="E5" s="90" t="s">
        <v>50</v>
      </c>
      <c r="F5" s="57" t="s">
        <v>51</v>
      </c>
      <c r="G5" s="57"/>
      <c r="H5" s="58" t="s">
        <v>52</v>
      </c>
      <c r="I5" s="57">
        <v>2024</v>
      </c>
      <c r="J5" s="57">
        <v>8</v>
      </c>
      <c r="K5" s="29">
        <v>45618</v>
      </c>
      <c r="L5" s="66"/>
      <c r="M5" s="67">
        <v>1.345</v>
      </c>
      <c r="N5" s="67">
        <v>1.3863000000000001</v>
      </c>
      <c r="O5" s="67">
        <v>4.1300000000000003E-2</v>
      </c>
      <c r="P5" s="68">
        <f t="shared" si="0"/>
        <v>0</v>
      </c>
      <c r="Q5" s="100">
        <v>1</v>
      </c>
      <c r="R5" s="104">
        <f t="shared" ref="R5:R117" si="2">Q5*M5</f>
        <v>1.345</v>
      </c>
      <c r="S5" s="73">
        <v>519430</v>
      </c>
      <c r="T5" s="73">
        <f t="shared" si="1"/>
        <v>3398394</v>
      </c>
      <c r="U5" s="74">
        <v>1100000</v>
      </c>
      <c r="V5" s="74">
        <f t="shared" ref="V5:V43" si="3">U5-O5*T5</f>
        <v>959646.32779999997</v>
      </c>
      <c r="W5" s="57" t="s">
        <v>53</v>
      </c>
      <c r="X5" s="128" t="s">
        <v>54</v>
      </c>
      <c r="Y5" s="75">
        <v>9.1999999999999993</v>
      </c>
      <c r="Z5" s="75"/>
      <c r="AA5" s="75" t="s">
        <v>55</v>
      </c>
      <c r="AB5" s="76">
        <v>0.85170000000000001</v>
      </c>
      <c r="AC5" s="74">
        <f t="shared" ref="AC5:AC13" si="4">N5*S5</f>
        <v>720085.80900000001</v>
      </c>
      <c r="AD5" s="81">
        <f t="shared" ref="AD5:AD53" si="5">AB5*S5</f>
        <v>442398.53100000002</v>
      </c>
      <c r="AE5" s="73">
        <f t="shared" ref="AE5:AE13" si="6">S5*Y5/1000</f>
        <v>4778.7560000000003</v>
      </c>
      <c r="AF5" s="82"/>
    </row>
    <row r="6" spans="2:32" s="44" customFormat="1" hidden="1">
      <c r="B6" s="19" t="s">
        <v>10</v>
      </c>
      <c r="C6" s="40" t="s">
        <v>15</v>
      </c>
      <c r="D6" s="57" t="s">
        <v>49</v>
      </c>
      <c r="E6" s="90" t="s">
        <v>50</v>
      </c>
      <c r="F6" s="57" t="s">
        <v>51</v>
      </c>
      <c r="G6" s="57"/>
      <c r="H6" s="58" t="s">
        <v>52</v>
      </c>
      <c r="I6" s="57">
        <v>2024</v>
      </c>
      <c r="J6" s="57">
        <v>7</v>
      </c>
      <c r="K6" s="29">
        <v>45618</v>
      </c>
      <c r="L6" s="66"/>
      <c r="M6" s="67">
        <v>1.345</v>
      </c>
      <c r="N6" s="67">
        <v>1.3863000000000001</v>
      </c>
      <c r="O6" s="67">
        <v>4.1300000000000003E-2</v>
      </c>
      <c r="P6" s="68">
        <f t="shared" si="0"/>
        <v>0</v>
      </c>
      <c r="Q6" s="100">
        <v>1</v>
      </c>
      <c r="R6" s="104">
        <f t="shared" si="2"/>
        <v>1.345</v>
      </c>
      <c r="S6" s="73">
        <v>262456</v>
      </c>
      <c r="T6" s="73">
        <f t="shared" si="1"/>
        <v>2878964</v>
      </c>
      <c r="U6" s="74">
        <v>1100000</v>
      </c>
      <c r="V6" s="74">
        <f t="shared" si="3"/>
        <v>981098.7868</v>
      </c>
      <c r="W6" s="57" t="s">
        <v>53</v>
      </c>
      <c r="X6" s="128" t="s">
        <v>54</v>
      </c>
      <c r="Y6" s="75">
        <v>9.1999999999999993</v>
      </c>
      <c r="Z6" s="75"/>
      <c r="AA6" s="75" t="s">
        <v>55</v>
      </c>
      <c r="AB6" s="76">
        <v>0.85170000000000001</v>
      </c>
      <c r="AC6" s="74">
        <f t="shared" si="4"/>
        <v>363842.75280000002</v>
      </c>
      <c r="AD6" s="81">
        <f t="shared" si="5"/>
        <v>223533.7752</v>
      </c>
      <c r="AE6" s="73">
        <f t="shared" si="6"/>
        <v>2414.5951999999997</v>
      </c>
      <c r="AF6" s="82"/>
    </row>
    <row r="7" spans="2:32" s="44" customFormat="1" hidden="1">
      <c r="B7" s="19" t="s">
        <v>10</v>
      </c>
      <c r="C7" s="40" t="s">
        <v>15</v>
      </c>
      <c r="D7" s="57" t="s">
        <v>49</v>
      </c>
      <c r="E7" s="90" t="s">
        <v>50</v>
      </c>
      <c r="F7" s="57" t="s">
        <v>51</v>
      </c>
      <c r="G7" s="57"/>
      <c r="H7" s="58" t="s">
        <v>52</v>
      </c>
      <c r="I7" s="57">
        <v>2024</v>
      </c>
      <c r="J7" s="57">
        <v>6</v>
      </c>
      <c r="K7" s="29">
        <v>45618</v>
      </c>
      <c r="L7" s="66"/>
      <c r="M7" s="67">
        <v>1.345</v>
      </c>
      <c r="N7" s="67">
        <v>1.3863000000000001</v>
      </c>
      <c r="O7" s="67">
        <v>4.1300000000000003E-2</v>
      </c>
      <c r="P7" s="68">
        <f>L7*O7</f>
        <v>0</v>
      </c>
      <c r="Q7" s="100">
        <v>1</v>
      </c>
      <c r="R7" s="104">
        <f t="shared" si="2"/>
        <v>1.345</v>
      </c>
      <c r="S7" s="73">
        <v>937093</v>
      </c>
      <c r="T7" s="73">
        <f t="shared" si="1"/>
        <v>2616508</v>
      </c>
      <c r="U7" s="74">
        <v>1100000</v>
      </c>
      <c r="V7" s="74">
        <f t="shared" si="3"/>
        <v>991938.21959999995</v>
      </c>
      <c r="W7" s="57" t="s">
        <v>53</v>
      </c>
      <c r="X7" s="128" t="s">
        <v>54</v>
      </c>
      <c r="Y7" s="75">
        <v>9.1999999999999993</v>
      </c>
      <c r="Z7" s="75"/>
      <c r="AA7" s="75" t="s">
        <v>55</v>
      </c>
      <c r="AB7" s="76">
        <v>0.85170000000000001</v>
      </c>
      <c r="AC7" s="74">
        <f t="shared" si="4"/>
        <v>1299092.0259</v>
      </c>
      <c r="AD7" s="81">
        <f t="shared" si="5"/>
        <v>798122.10809999995</v>
      </c>
      <c r="AE7" s="73">
        <f t="shared" si="6"/>
        <v>8621.2556000000004</v>
      </c>
      <c r="AF7" s="82"/>
    </row>
    <row r="8" spans="2:32" s="44" customFormat="1" hidden="1">
      <c r="B8" s="19" t="s">
        <v>10</v>
      </c>
      <c r="C8" s="40" t="s">
        <v>15</v>
      </c>
      <c r="D8" s="57" t="s">
        <v>49</v>
      </c>
      <c r="E8" s="90" t="s">
        <v>50</v>
      </c>
      <c r="F8" s="57" t="s">
        <v>51</v>
      </c>
      <c r="G8" s="57"/>
      <c r="H8" s="58" t="s">
        <v>52</v>
      </c>
      <c r="I8" s="57">
        <v>2024</v>
      </c>
      <c r="J8" s="57">
        <v>5</v>
      </c>
      <c r="K8" s="29">
        <v>45618</v>
      </c>
      <c r="L8" s="66"/>
      <c r="M8" s="67">
        <v>1.345</v>
      </c>
      <c r="N8" s="67">
        <v>1.3863000000000001</v>
      </c>
      <c r="O8" s="67">
        <v>4.1300000000000003E-2</v>
      </c>
      <c r="P8" s="68">
        <f>L8*O8</f>
        <v>0</v>
      </c>
      <c r="Q8" s="100">
        <v>1</v>
      </c>
      <c r="R8" s="104">
        <f t="shared" si="2"/>
        <v>1.345</v>
      </c>
      <c r="S8" s="73">
        <v>996174</v>
      </c>
      <c r="T8" s="73">
        <f t="shared" si="1"/>
        <v>1679415</v>
      </c>
      <c r="U8" s="74">
        <v>1100000</v>
      </c>
      <c r="V8" s="74">
        <f t="shared" si="3"/>
        <v>1030640.1605</v>
      </c>
      <c r="W8" s="57" t="s">
        <v>53</v>
      </c>
      <c r="X8" s="128" t="s">
        <v>54</v>
      </c>
      <c r="Y8" s="75">
        <v>9.1999999999999993</v>
      </c>
      <c r="Z8" s="75"/>
      <c r="AA8" s="75" t="s">
        <v>55</v>
      </c>
      <c r="AB8" s="76">
        <v>0.85170000000000001</v>
      </c>
      <c r="AC8" s="74">
        <f t="shared" si="4"/>
        <v>1380996.0162000002</v>
      </c>
      <c r="AD8" s="81">
        <f t="shared" si="5"/>
        <v>848441.39580000006</v>
      </c>
      <c r="AE8" s="73">
        <f t="shared" si="6"/>
        <v>9164.8007999999991</v>
      </c>
      <c r="AF8" s="82"/>
    </row>
    <row r="9" spans="2:32" s="44" customFormat="1" hidden="1">
      <c r="B9" s="19" t="s">
        <v>10</v>
      </c>
      <c r="C9" s="40" t="s">
        <v>15</v>
      </c>
      <c r="D9" s="57" t="s">
        <v>49</v>
      </c>
      <c r="E9" s="90" t="s">
        <v>50</v>
      </c>
      <c r="F9" s="57" t="s">
        <v>51</v>
      </c>
      <c r="G9" s="57"/>
      <c r="H9" s="58" t="s">
        <v>52</v>
      </c>
      <c r="I9" s="57">
        <v>2024</v>
      </c>
      <c r="J9" s="57">
        <v>4</v>
      </c>
      <c r="K9" s="29">
        <v>45618</v>
      </c>
      <c r="L9" s="66"/>
      <c r="M9" s="67">
        <v>1.345</v>
      </c>
      <c r="N9" s="67">
        <v>1.3863000000000001</v>
      </c>
      <c r="O9" s="67">
        <v>4.1300000000000003E-2</v>
      </c>
      <c r="P9" s="68">
        <f t="shared" si="0"/>
        <v>0</v>
      </c>
      <c r="Q9" s="100">
        <v>1</v>
      </c>
      <c r="R9" s="104">
        <f t="shared" si="2"/>
        <v>1.345</v>
      </c>
      <c r="S9" s="73">
        <v>656888</v>
      </c>
      <c r="T9" s="73">
        <f t="shared" si="1"/>
        <v>683241</v>
      </c>
      <c r="U9" s="74">
        <v>1100000</v>
      </c>
      <c r="V9" s="74">
        <f t="shared" si="3"/>
        <v>1071782.1466999999</v>
      </c>
      <c r="W9" s="57" t="s">
        <v>53</v>
      </c>
      <c r="X9" s="128" t="s">
        <v>54</v>
      </c>
      <c r="Y9" s="75">
        <v>9.1999999999999993</v>
      </c>
      <c r="Z9" s="75"/>
      <c r="AA9" s="75" t="s">
        <v>55</v>
      </c>
      <c r="AB9" s="76">
        <v>0.85170000000000001</v>
      </c>
      <c r="AC9" s="74">
        <f t="shared" si="4"/>
        <v>910643.83440000005</v>
      </c>
      <c r="AD9" s="81">
        <f t="shared" si="5"/>
        <v>559471.50959999999</v>
      </c>
      <c r="AE9" s="73">
        <f t="shared" si="6"/>
        <v>6043.3696</v>
      </c>
      <c r="AF9" s="82"/>
    </row>
    <row r="10" spans="2:32" s="44" customFormat="1" hidden="1">
      <c r="B10" s="19" t="s">
        <v>10</v>
      </c>
      <c r="C10" s="40" t="s">
        <v>15</v>
      </c>
      <c r="D10" s="57" t="s">
        <v>49</v>
      </c>
      <c r="E10" s="90" t="s">
        <v>50</v>
      </c>
      <c r="F10" s="57" t="s">
        <v>51</v>
      </c>
      <c r="G10" s="57"/>
      <c r="H10" s="58" t="s">
        <v>52</v>
      </c>
      <c r="I10" s="57">
        <v>2024</v>
      </c>
      <c r="J10" s="57">
        <v>3</v>
      </c>
      <c r="K10" s="29">
        <v>45618</v>
      </c>
      <c r="L10" s="66"/>
      <c r="M10" s="67">
        <v>1.345</v>
      </c>
      <c r="N10" s="67">
        <v>1.3863000000000001</v>
      </c>
      <c r="O10" s="67">
        <v>4.1300000000000003E-2</v>
      </c>
      <c r="P10" s="68">
        <f t="shared" si="0"/>
        <v>0</v>
      </c>
      <c r="Q10" s="100">
        <v>1</v>
      </c>
      <c r="R10" s="104">
        <f t="shared" si="2"/>
        <v>1.345</v>
      </c>
      <c r="S10" s="73">
        <v>7800</v>
      </c>
      <c r="T10" s="73">
        <f t="shared" si="1"/>
        <v>26353</v>
      </c>
      <c r="U10" s="74">
        <v>1100000</v>
      </c>
      <c r="V10" s="74">
        <f t="shared" si="3"/>
        <v>1098911.6211000001</v>
      </c>
      <c r="W10" s="57" t="s">
        <v>53</v>
      </c>
      <c r="X10" s="128" t="s">
        <v>54</v>
      </c>
      <c r="Y10" s="75">
        <v>9.1999999999999993</v>
      </c>
      <c r="Z10" s="75"/>
      <c r="AA10" s="75" t="s">
        <v>55</v>
      </c>
      <c r="AB10" s="76">
        <v>0.85170000000000001</v>
      </c>
      <c r="AC10" s="74">
        <f t="shared" si="4"/>
        <v>10813.140000000001</v>
      </c>
      <c r="AD10" s="81">
        <f t="shared" si="5"/>
        <v>6643.26</v>
      </c>
      <c r="AE10" s="73">
        <f t="shared" si="6"/>
        <v>71.760000000000005</v>
      </c>
      <c r="AF10" s="82"/>
    </row>
    <row r="11" spans="2:32" s="44" customFormat="1" hidden="1">
      <c r="B11" s="19" t="s">
        <v>10</v>
      </c>
      <c r="C11" s="40" t="s">
        <v>15</v>
      </c>
      <c r="D11" s="57" t="s">
        <v>49</v>
      </c>
      <c r="E11" s="90" t="s">
        <v>50</v>
      </c>
      <c r="F11" s="57" t="s">
        <v>51</v>
      </c>
      <c r="G11" s="57"/>
      <c r="H11" s="58" t="s">
        <v>52</v>
      </c>
      <c r="I11" s="57">
        <v>2024</v>
      </c>
      <c r="J11" s="57">
        <v>1</v>
      </c>
      <c r="K11" s="29">
        <v>45618</v>
      </c>
      <c r="L11" s="66"/>
      <c r="M11" s="67">
        <v>1.345</v>
      </c>
      <c r="N11" s="67">
        <v>1.3863000000000001</v>
      </c>
      <c r="O11" s="67">
        <v>4.1300000000000003E-2</v>
      </c>
      <c r="P11" s="68">
        <f t="shared" si="0"/>
        <v>0</v>
      </c>
      <c r="Q11" s="100">
        <v>1</v>
      </c>
      <c r="R11" s="104">
        <f t="shared" si="2"/>
        <v>1.345</v>
      </c>
      <c r="S11" s="73">
        <v>2100</v>
      </c>
      <c r="T11" s="73">
        <f t="shared" si="1"/>
        <v>18553</v>
      </c>
      <c r="U11" s="74">
        <v>1100000</v>
      </c>
      <c r="V11" s="74">
        <f t="shared" si="3"/>
        <v>1099233.7611</v>
      </c>
      <c r="W11" s="57" t="s">
        <v>53</v>
      </c>
      <c r="X11" s="128" t="s">
        <v>54</v>
      </c>
      <c r="Y11" s="75">
        <v>9.1999999999999993</v>
      </c>
      <c r="Z11" s="75"/>
      <c r="AA11" s="75" t="s">
        <v>55</v>
      </c>
      <c r="AB11" s="76">
        <v>0.85170000000000001</v>
      </c>
      <c r="AC11" s="74">
        <f t="shared" si="4"/>
        <v>2911.23</v>
      </c>
      <c r="AD11" s="81">
        <f t="shared" si="5"/>
        <v>1788.57</v>
      </c>
      <c r="AE11" s="73">
        <f t="shared" si="6"/>
        <v>19.32</v>
      </c>
      <c r="AF11" s="82"/>
    </row>
    <row r="12" spans="2:32" s="44" customFormat="1" hidden="1">
      <c r="B12" s="19" t="s">
        <v>10</v>
      </c>
      <c r="C12" s="40" t="s">
        <v>15</v>
      </c>
      <c r="D12" s="57" t="s">
        <v>49</v>
      </c>
      <c r="E12" s="90" t="s">
        <v>50</v>
      </c>
      <c r="F12" s="57" t="s">
        <v>51</v>
      </c>
      <c r="G12" s="57"/>
      <c r="H12" s="58" t="s">
        <v>52</v>
      </c>
      <c r="I12" s="57">
        <v>2023</v>
      </c>
      <c r="J12" s="57">
        <v>12</v>
      </c>
      <c r="K12" s="29">
        <v>45618</v>
      </c>
      <c r="L12" s="66"/>
      <c r="M12" s="67">
        <v>1.345</v>
      </c>
      <c r="N12" s="67">
        <v>1.3863000000000001</v>
      </c>
      <c r="O12" s="67">
        <v>4.1300000000000003E-2</v>
      </c>
      <c r="P12" s="68">
        <f t="shared" si="0"/>
        <v>0</v>
      </c>
      <c r="Q12" s="100">
        <v>1</v>
      </c>
      <c r="R12" s="104">
        <f t="shared" si="2"/>
        <v>1.345</v>
      </c>
      <c r="S12" s="73">
        <v>12500</v>
      </c>
      <c r="T12" s="73">
        <f t="shared" si="1"/>
        <v>16453</v>
      </c>
      <c r="U12" s="74">
        <v>1100000</v>
      </c>
      <c r="V12" s="74">
        <f t="shared" si="3"/>
        <v>1099320.4911</v>
      </c>
      <c r="W12" s="57" t="s">
        <v>53</v>
      </c>
      <c r="X12" s="128" t="s">
        <v>54</v>
      </c>
      <c r="Y12" s="75">
        <v>9.1999999999999993</v>
      </c>
      <c r="Z12" s="75"/>
      <c r="AA12" s="75" t="s">
        <v>55</v>
      </c>
      <c r="AB12" s="76">
        <v>0.85170000000000001</v>
      </c>
      <c r="AC12" s="74">
        <f t="shared" si="4"/>
        <v>17328.75</v>
      </c>
      <c r="AD12" s="81">
        <f t="shared" si="5"/>
        <v>10646.25</v>
      </c>
      <c r="AE12" s="73">
        <f t="shared" si="6"/>
        <v>114.99999999999999</v>
      </c>
      <c r="AF12" s="82"/>
    </row>
    <row r="13" spans="2:32" s="44" customFormat="1" hidden="1">
      <c r="B13" s="19" t="s">
        <v>10</v>
      </c>
      <c r="C13" s="40" t="s">
        <v>15</v>
      </c>
      <c r="D13" s="57" t="s">
        <v>49</v>
      </c>
      <c r="E13" s="90" t="s">
        <v>50</v>
      </c>
      <c r="F13" s="57" t="s">
        <v>51</v>
      </c>
      <c r="G13" s="57"/>
      <c r="H13" s="58" t="s">
        <v>52</v>
      </c>
      <c r="I13" s="57">
        <v>2023</v>
      </c>
      <c r="J13" s="57">
        <v>11</v>
      </c>
      <c r="K13" s="29">
        <v>45618</v>
      </c>
      <c r="L13" s="66"/>
      <c r="M13" s="67">
        <v>1.345</v>
      </c>
      <c r="N13" s="67">
        <v>1.3863000000000001</v>
      </c>
      <c r="O13" s="67">
        <v>4.1300000000000003E-2</v>
      </c>
      <c r="P13" s="68">
        <f t="shared" si="0"/>
        <v>0</v>
      </c>
      <c r="Q13" s="100">
        <v>1</v>
      </c>
      <c r="R13" s="104">
        <f t="shared" si="2"/>
        <v>1.345</v>
      </c>
      <c r="S13" s="73">
        <v>3953</v>
      </c>
      <c r="T13" s="73">
        <f>S13</f>
        <v>3953</v>
      </c>
      <c r="U13" s="74">
        <v>1100000</v>
      </c>
      <c r="V13" s="74">
        <f t="shared" si="3"/>
        <v>1099836.7411</v>
      </c>
      <c r="W13" s="57" t="s">
        <v>53</v>
      </c>
      <c r="X13" s="128" t="s">
        <v>54</v>
      </c>
      <c r="Y13" s="75">
        <v>9.1999999999999993</v>
      </c>
      <c r="Z13" s="75"/>
      <c r="AA13" s="75" t="s">
        <v>55</v>
      </c>
      <c r="AB13" s="76">
        <v>0.85170000000000001</v>
      </c>
      <c r="AC13" s="74">
        <f t="shared" si="4"/>
        <v>5480.0439000000006</v>
      </c>
      <c r="AD13" s="81">
        <f t="shared" si="5"/>
        <v>3366.7701000000002</v>
      </c>
      <c r="AE13" s="73">
        <f t="shared" si="6"/>
        <v>36.367599999999996</v>
      </c>
      <c r="AF13" s="82"/>
    </row>
    <row r="14" spans="2:32" s="44" customFormat="1" ht="25.5" hidden="1" customHeight="1">
      <c r="B14" s="19" t="s">
        <v>10</v>
      </c>
      <c r="C14" s="40" t="s">
        <v>15</v>
      </c>
      <c r="D14" s="57" t="s">
        <v>49</v>
      </c>
      <c r="E14" s="90" t="s">
        <v>50</v>
      </c>
      <c r="F14" s="57" t="s">
        <v>51</v>
      </c>
      <c r="G14" s="57"/>
      <c r="H14" s="58" t="s">
        <v>52</v>
      </c>
      <c r="I14" s="57">
        <v>2024</v>
      </c>
      <c r="J14" s="57">
        <v>10</v>
      </c>
      <c r="K14" s="29">
        <v>45618</v>
      </c>
      <c r="L14" s="66"/>
      <c r="M14" s="67">
        <v>1.345</v>
      </c>
      <c r="N14" s="67">
        <v>1.3863000000000001</v>
      </c>
      <c r="O14" s="67">
        <v>4.1300000000000003E-2</v>
      </c>
      <c r="P14" s="68"/>
      <c r="Q14" s="100">
        <v>1</v>
      </c>
      <c r="R14" s="104">
        <f t="shared" si="2"/>
        <v>1.345</v>
      </c>
      <c r="S14" s="73">
        <v>194085</v>
      </c>
      <c r="T14" s="73">
        <f>T4+S14</f>
        <v>4404329</v>
      </c>
      <c r="U14" s="74">
        <v>1100000</v>
      </c>
      <c r="V14" s="74">
        <f t="shared" si="3"/>
        <v>918101.21230000001</v>
      </c>
      <c r="W14" s="57" t="s">
        <v>53</v>
      </c>
      <c r="X14" s="128" t="s">
        <v>54</v>
      </c>
      <c r="Y14" s="75">
        <v>9.1999999999999993</v>
      </c>
      <c r="Z14" s="75"/>
      <c r="AA14" s="75" t="s">
        <v>55</v>
      </c>
      <c r="AB14" s="76">
        <v>0.85170000000000001</v>
      </c>
      <c r="AC14" s="74">
        <f t="shared" ref="AC14:AC44" si="7">N14*S14</f>
        <v>269060.0355</v>
      </c>
      <c r="AD14" s="81">
        <f t="shared" si="5"/>
        <v>165302.19450000001</v>
      </c>
      <c r="AE14" s="73">
        <f t="shared" ref="AE14:AE44" si="8">S14*Y14/1000</f>
        <v>1785.5819999999999</v>
      </c>
      <c r="AF14" s="82" t="s">
        <v>56</v>
      </c>
    </row>
    <row r="15" spans="2:32" s="44" customFormat="1" ht="25.5" hidden="1" customHeight="1">
      <c r="B15" s="19" t="s">
        <v>10</v>
      </c>
      <c r="C15" s="40" t="s">
        <v>15</v>
      </c>
      <c r="D15" s="57" t="s">
        <v>49</v>
      </c>
      <c r="E15" s="90" t="s">
        <v>50</v>
      </c>
      <c r="F15" s="57" t="s">
        <v>51</v>
      </c>
      <c r="G15" s="57"/>
      <c r="H15" s="58" t="s">
        <v>52</v>
      </c>
      <c r="I15" s="57">
        <v>2024</v>
      </c>
      <c r="J15" s="57">
        <v>11</v>
      </c>
      <c r="K15" s="29">
        <v>45629</v>
      </c>
      <c r="L15" s="66"/>
      <c r="M15" s="67">
        <v>1.345</v>
      </c>
      <c r="N15" s="67">
        <v>1.3863000000000001</v>
      </c>
      <c r="O15" s="67">
        <v>4.1300000000000003E-2</v>
      </c>
      <c r="P15" s="68"/>
      <c r="Q15" s="100">
        <v>1</v>
      </c>
      <c r="R15" s="104">
        <f t="shared" si="2"/>
        <v>1.345</v>
      </c>
      <c r="S15" s="73">
        <v>210740</v>
      </c>
      <c r="T15" s="73">
        <f>T14+S15</f>
        <v>4615069</v>
      </c>
      <c r="U15" s="74">
        <v>1100000</v>
      </c>
      <c r="V15" s="74">
        <f t="shared" si="3"/>
        <v>909397.65029999998</v>
      </c>
      <c r="W15" s="57" t="s">
        <v>53</v>
      </c>
      <c r="X15" s="128" t="s">
        <v>54</v>
      </c>
      <c r="Y15" s="75">
        <v>9.1999999999999993</v>
      </c>
      <c r="Z15" s="75"/>
      <c r="AA15" s="75" t="s">
        <v>55</v>
      </c>
      <c r="AB15" s="76">
        <v>0.85170000000000001</v>
      </c>
      <c r="AC15" s="74">
        <f t="shared" si="7"/>
        <v>292148.86200000002</v>
      </c>
      <c r="AD15" s="81">
        <f t="shared" ref="AD15:AD42" si="9">AB15*S15</f>
        <v>179487.258</v>
      </c>
      <c r="AE15" s="73">
        <f t="shared" si="8"/>
        <v>1938.8079999999998</v>
      </c>
      <c r="AF15" s="82"/>
    </row>
    <row r="16" spans="2:32" s="44" customFormat="1" ht="25.5" hidden="1" customHeight="1">
      <c r="B16" s="19" t="s">
        <v>10</v>
      </c>
      <c r="C16" s="40" t="s">
        <v>15</v>
      </c>
      <c r="D16" s="57" t="s">
        <v>49</v>
      </c>
      <c r="E16" s="90" t="s">
        <v>50</v>
      </c>
      <c r="F16" s="57" t="s">
        <v>51</v>
      </c>
      <c r="G16" s="57"/>
      <c r="H16" s="58" t="s">
        <v>52</v>
      </c>
      <c r="I16" s="57">
        <v>2024</v>
      </c>
      <c r="J16" s="57">
        <v>12</v>
      </c>
      <c r="K16" s="29">
        <v>45664</v>
      </c>
      <c r="L16" s="66"/>
      <c r="M16" s="67">
        <v>1.345</v>
      </c>
      <c r="N16" s="67">
        <v>1.3863000000000001</v>
      </c>
      <c r="O16" s="67">
        <v>4.1300000000000003E-2</v>
      </c>
      <c r="P16" s="68"/>
      <c r="Q16" s="100">
        <v>1</v>
      </c>
      <c r="R16" s="104">
        <f t="shared" ref="R16:R41" si="10">Q16*M16</f>
        <v>1.345</v>
      </c>
      <c r="S16" s="73">
        <v>404701</v>
      </c>
      <c r="T16" s="73">
        <f>T15+S16</f>
        <v>5019770</v>
      </c>
      <c r="U16" s="74">
        <v>1100000</v>
      </c>
      <c r="V16" s="74">
        <f t="shared" si="3"/>
        <v>892683.49899999995</v>
      </c>
      <c r="W16" s="57" t="s">
        <v>53</v>
      </c>
      <c r="X16" s="128" t="s">
        <v>54</v>
      </c>
      <c r="Y16" s="75">
        <v>9.1999999999999993</v>
      </c>
      <c r="Z16" s="75"/>
      <c r="AA16" s="75" t="s">
        <v>55</v>
      </c>
      <c r="AB16" s="76">
        <v>0.85170000000000001</v>
      </c>
      <c r="AC16" s="74">
        <f t="shared" si="7"/>
        <v>561036.9963</v>
      </c>
      <c r="AD16" s="81">
        <f t="shared" ref="AD16:AD41" si="11">AB16*S16</f>
        <v>344683.84169999999</v>
      </c>
      <c r="AE16" s="73">
        <f t="shared" si="8"/>
        <v>3723.2491999999997</v>
      </c>
      <c r="AF16" s="82"/>
    </row>
    <row r="17" spans="2:32" s="44" customFormat="1" ht="25.5" hidden="1" customHeight="1">
      <c r="B17" s="19" t="s">
        <v>10</v>
      </c>
      <c r="C17" s="40" t="s">
        <v>15</v>
      </c>
      <c r="D17" s="57" t="s">
        <v>49</v>
      </c>
      <c r="E17" s="90" t="s">
        <v>50</v>
      </c>
      <c r="F17" s="57" t="s">
        <v>51</v>
      </c>
      <c r="G17" s="57"/>
      <c r="H17" s="58" t="s">
        <v>52</v>
      </c>
      <c r="I17" s="57">
        <v>2025</v>
      </c>
      <c r="J17" s="57">
        <v>1</v>
      </c>
      <c r="K17" s="29">
        <v>45701</v>
      </c>
      <c r="L17" s="66"/>
      <c r="M17" s="67">
        <v>1.345</v>
      </c>
      <c r="N17" s="67">
        <v>1.3863000000000001</v>
      </c>
      <c r="O17" s="67">
        <v>4.1300000000000003E-2</v>
      </c>
      <c r="P17" s="68"/>
      <c r="Q17" s="100">
        <v>1</v>
      </c>
      <c r="R17" s="104">
        <f t="shared" ref="R17" si="12">Q17*M17</f>
        <v>1.345</v>
      </c>
      <c r="S17" s="73">
        <v>18440</v>
      </c>
      <c r="T17" s="73">
        <f>T16+S17+S18+S19+S20+S21+S22</f>
        <v>5230989</v>
      </c>
      <c r="U17" s="74">
        <v>1100000</v>
      </c>
      <c r="V17" s="74">
        <f>U17-O17*T17</f>
        <v>883960.15430000005</v>
      </c>
      <c r="W17" s="57" t="s">
        <v>53</v>
      </c>
      <c r="X17" s="128" t="s">
        <v>57</v>
      </c>
      <c r="Y17" s="75">
        <v>9.1999999999999993</v>
      </c>
      <c r="Z17" s="75"/>
      <c r="AA17" s="75" t="s">
        <v>55</v>
      </c>
      <c r="AB17" s="76">
        <v>0.85170000000000001</v>
      </c>
      <c r="AC17" s="74">
        <f t="shared" ref="AC17" si="13">N17*S17</f>
        <v>25563.372000000003</v>
      </c>
      <c r="AD17" s="81">
        <f t="shared" ref="AD17" si="14">AB17*S17</f>
        <v>15705.348</v>
      </c>
      <c r="AE17" s="73">
        <f t="shared" ref="AE17" si="15">S17*Y17/1000</f>
        <v>169.648</v>
      </c>
      <c r="AF17" s="82"/>
    </row>
    <row r="18" spans="2:32" s="44" customFormat="1" ht="25.5" hidden="1" customHeight="1">
      <c r="B18" s="19" t="s">
        <v>10</v>
      </c>
      <c r="C18" s="40" t="s">
        <v>15</v>
      </c>
      <c r="D18" s="57" t="s">
        <v>49</v>
      </c>
      <c r="E18" s="90" t="s">
        <v>50</v>
      </c>
      <c r="F18" s="57" t="s">
        <v>51</v>
      </c>
      <c r="G18" s="57"/>
      <c r="H18" s="58" t="s">
        <v>52</v>
      </c>
      <c r="I18" s="57">
        <v>2025</v>
      </c>
      <c r="J18" s="57">
        <v>1</v>
      </c>
      <c r="K18" s="29">
        <v>45701</v>
      </c>
      <c r="L18" s="66"/>
      <c r="M18" s="67">
        <v>1.345</v>
      </c>
      <c r="N18" s="67">
        <v>1.3863000000000001</v>
      </c>
      <c r="O18" s="67">
        <v>4.1300000000000003E-2</v>
      </c>
      <c r="P18" s="68"/>
      <c r="Q18" s="100">
        <v>1</v>
      </c>
      <c r="R18" s="104">
        <f t="shared" ref="R18:R40" si="16">Q18*M18</f>
        <v>1.345</v>
      </c>
      <c r="S18" s="73">
        <v>53574</v>
      </c>
      <c r="T18" s="73"/>
      <c r="U18" s="74"/>
      <c r="V18" s="74"/>
      <c r="W18" s="57" t="s">
        <v>53</v>
      </c>
      <c r="X18" s="128" t="s">
        <v>58</v>
      </c>
      <c r="Y18" s="75">
        <v>9.1999999999999993</v>
      </c>
      <c r="Z18" s="75"/>
      <c r="AA18" s="75" t="s">
        <v>55</v>
      </c>
      <c r="AB18" s="76">
        <v>0.85170000000000001</v>
      </c>
      <c r="AC18" s="74">
        <f t="shared" ref="AC18:AC40" si="17">N18*S18</f>
        <v>74269.636200000008</v>
      </c>
      <c r="AD18" s="81">
        <f t="shared" ref="AD18:AD40" si="18">AB18*S18</f>
        <v>45628.9758</v>
      </c>
      <c r="AE18" s="73">
        <f t="shared" ref="AE18:AE40" si="19">S18*Y18/1000</f>
        <v>492.88079999999997</v>
      </c>
      <c r="AF18" s="82"/>
    </row>
    <row r="19" spans="2:32" s="44" customFormat="1" ht="25.5" hidden="1" customHeight="1">
      <c r="B19" s="19" t="s">
        <v>10</v>
      </c>
      <c r="C19" s="40" t="s">
        <v>15</v>
      </c>
      <c r="D19" s="57" t="s">
        <v>49</v>
      </c>
      <c r="E19" s="90" t="s">
        <v>50</v>
      </c>
      <c r="F19" s="57" t="s">
        <v>51</v>
      </c>
      <c r="G19" s="57"/>
      <c r="H19" s="58" t="s">
        <v>52</v>
      </c>
      <c r="I19" s="57">
        <v>2025</v>
      </c>
      <c r="J19" s="57">
        <v>1</v>
      </c>
      <c r="K19" s="29">
        <v>45701</v>
      </c>
      <c r="L19" s="66"/>
      <c r="M19" s="67">
        <v>1.345</v>
      </c>
      <c r="N19" s="67">
        <v>1.3863000000000001</v>
      </c>
      <c r="O19" s="67">
        <v>4.1300000000000003E-2</v>
      </c>
      <c r="P19" s="68"/>
      <c r="Q19" s="100">
        <v>1</v>
      </c>
      <c r="R19" s="104">
        <f t="shared" si="16"/>
        <v>1.345</v>
      </c>
      <c r="S19" s="73">
        <v>39659</v>
      </c>
      <c r="T19" s="73"/>
      <c r="U19" s="74"/>
      <c r="V19" s="74"/>
      <c r="W19" s="57" t="s">
        <v>53</v>
      </c>
      <c r="X19" s="128" t="s">
        <v>59</v>
      </c>
      <c r="Y19" s="75">
        <v>9.1999999999999993</v>
      </c>
      <c r="Z19" s="75"/>
      <c r="AA19" s="75" t="s">
        <v>55</v>
      </c>
      <c r="AB19" s="76">
        <v>0.85170000000000001</v>
      </c>
      <c r="AC19" s="74">
        <f t="shared" si="17"/>
        <v>54979.271700000005</v>
      </c>
      <c r="AD19" s="81">
        <f t="shared" si="18"/>
        <v>33777.570299999999</v>
      </c>
      <c r="AE19" s="73">
        <f t="shared" si="19"/>
        <v>364.86279999999999</v>
      </c>
      <c r="AF19" s="82"/>
    </row>
    <row r="20" spans="2:32" s="44" customFormat="1" ht="25.5" hidden="1" customHeight="1">
      <c r="B20" s="19" t="s">
        <v>10</v>
      </c>
      <c r="C20" s="40" t="s">
        <v>15</v>
      </c>
      <c r="D20" s="57" t="s">
        <v>49</v>
      </c>
      <c r="E20" s="90" t="s">
        <v>50</v>
      </c>
      <c r="F20" s="57" t="s">
        <v>51</v>
      </c>
      <c r="G20" s="57"/>
      <c r="H20" s="58" t="s">
        <v>52</v>
      </c>
      <c r="I20" s="57">
        <v>2025</v>
      </c>
      <c r="J20" s="57">
        <v>1</v>
      </c>
      <c r="K20" s="29">
        <v>45701</v>
      </c>
      <c r="L20" s="66"/>
      <c r="M20" s="67">
        <v>1.345</v>
      </c>
      <c r="N20" s="67">
        <v>1.3863000000000001</v>
      </c>
      <c r="O20" s="67">
        <v>4.1300000000000003E-2</v>
      </c>
      <c r="P20" s="68"/>
      <c r="Q20" s="100">
        <v>1</v>
      </c>
      <c r="R20" s="104">
        <f t="shared" si="16"/>
        <v>1.345</v>
      </c>
      <c r="S20" s="73">
        <v>29514</v>
      </c>
      <c r="T20" s="73"/>
      <c r="U20" s="74"/>
      <c r="V20" s="74"/>
      <c r="W20" s="57" t="s">
        <v>53</v>
      </c>
      <c r="X20" s="128" t="s">
        <v>60</v>
      </c>
      <c r="Y20" s="75">
        <v>9.1999999999999993</v>
      </c>
      <c r="Z20" s="75"/>
      <c r="AA20" s="75" t="s">
        <v>55</v>
      </c>
      <c r="AB20" s="76">
        <v>0.85170000000000001</v>
      </c>
      <c r="AC20" s="74">
        <f t="shared" si="17"/>
        <v>40915.258200000004</v>
      </c>
      <c r="AD20" s="81">
        <f t="shared" si="18"/>
        <v>25137.073800000002</v>
      </c>
      <c r="AE20" s="73">
        <f t="shared" si="19"/>
        <v>271.52879999999999</v>
      </c>
      <c r="AF20" s="82"/>
    </row>
    <row r="21" spans="2:32" s="44" customFormat="1" ht="25.5" hidden="1" customHeight="1">
      <c r="B21" s="19" t="s">
        <v>10</v>
      </c>
      <c r="C21" s="40" t="s">
        <v>15</v>
      </c>
      <c r="D21" s="57" t="s">
        <v>49</v>
      </c>
      <c r="E21" s="90" t="s">
        <v>50</v>
      </c>
      <c r="F21" s="57" t="s">
        <v>51</v>
      </c>
      <c r="G21" s="57"/>
      <c r="H21" s="58" t="s">
        <v>52</v>
      </c>
      <c r="I21" s="57">
        <v>2025</v>
      </c>
      <c r="J21" s="57">
        <v>1</v>
      </c>
      <c r="K21" s="29">
        <v>45701</v>
      </c>
      <c r="L21" s="66"/>
      <c r="M21" s="67">
        <v>1.345</v>
      </c>
      <c r="N21" s="67">
        <v>1.3863000000000001</v>
      </c>
      <c r="O21" s="67">
        <v>4.1300000000000003E-2</v>
      </c>
      <c r="P21" s="68"/>
      <c r="Q21" s="100">
        <v>1</v>
      </c>
      <c r="R21" s="104">
        <f t="shared" si="16"/>
        <v>1.345</v>
      </c>
      <c r="S21" s="73">
        <v>35204</v>
      </c>
      <c r="T21" s="73"/>
      <c r="U21" s="74"/>
      <c r="V21" s="74"/>
      <c r="W21" s="57" t="s">
        <v>53</v>
      </c>
      <c r="X21" s="128" t="s">
        <v>61</v>
      </c>
      <c r="Y21" s="75">
        <v>9.1999999999999993</v>
      </c>
      <c r="Z21" s="75"/>
      <c r="AA21" s="75" t="s">
        <v>55</v>
      </c>
      <c r="AB21" s="76">
        <v>0.85170000000000001</v>
      </c>
      <c r="AC21" s="74">
        <f t="shared" si="17"/>
        <v>48803.305200000003</v>
      </c>
      <c r="AD21" s="81">
        <f t="shared" si="18"/>
        <v>29983.246800000001</v>
      </c>
      <c r="AE21" s="73">
        <f t="shared" si="19"/>
        <v>323.8768</v>
      </c>
      <c r="AF21" s="82"/>
    </row>
    <row r="22" spans="2:32" s="44" customFormat="1" ht="25.5" hidden="1" customHeight="1">
      <c r="B22" s="19" t="s">
        <v>10</v>
      </c>
      <c r="C22" s="40" t="s">
        <v>15</v>
      </c>
      <c r="D22" s="57" t="s">
        <v>49</v>
      </c>
      <c r="E22" s="90" t="s">
        <v>50</v>
      </c>
      <c r="F22" s="57" t="s">
        <v>51</v>
      </c>
      <c r="G22" s="57"/>
      <c r="H22" s="58" t="s">
        <v>52</v>
      </c>
      <c r="I22" s="57">
        <v>2025</v>
      </c>
      <c r="J22" s="57">
        <v>1</v>
      </c>
      <c r="K22" s="29">
        <v>45701</v>
      </c>
      <c r="L22" s="66"/>
      <c r="M22" s="67">
        <v>1.345</v>
      </c>
      <c r="N22" s="67">
        <v>1.3863000000000001</v>
      </c>
      <c r="O22" s="67">
        <v>4.1300000000000003E-2</v>
      </c>
      <c r="P22" s="68"/>
      <c r="Q22" s="100">
        <v>1</v>
      </c>
      <c r="R22" s="104">
        <f t="shared" si="16"/>
        <v>1.345</v>
      </c>
      <c r="S22" s="73">
        <v>34828</v>
      </c>
      <c r="T22" s="73"/>
      <c r="U22" s="74"/>
      <c r="V22" s="74"/>
      <c r="W22" s="57" t="s">
        <v>53</v>
      </c>
      <c r="X22" s="128" t="s">
        <v>62</v>
      </c>
      <c r="Y22" s="75">
        <v>9.1999999999999993</v>
      </c>
      <c r="Z22" s="75"/>
      <c r="AA22" s="75" t="s">
        <v>55</v>
      </c>
      <c r="AB22" s="76">
        <v>0.85170000000000001</v>
      </c>
      <c r="AC22" s="74">
        <f t="shared" si="17"/>
        <v>48282.056400000001</v>
      </c>
      <c r="AD22" s="81">
        <f t="shared" si="18"/>
        <v>29663.007600000001</v>
      </c>
      <c r="AE22" s="73">
        <f t="shared" si="19"/>
        <v>320.41759999999999</v>
      </c>
      <c r="AF22" s="82"/>
    </row>
    <row r="23" spans="2:32" s="44" customFormat="1" ht="25.5" customHeight="1">
      <c r="B23" s="19" t="s">
        <v>10</v>
      </c>
      <c r="C23" s="40" t="s">
        <v>15</v>
      </c>
      <c r="D23" s="57" t="s">
        <v>49</v>
      </c>
      <c r="E23" s="90" t="s">
        <v>50</v>
      </c>
      <c r="F23" s="57" t="s">
        <v>51</v>
      </c>
      <c r="G23" s="57"/>
      <c r="H23" s="58" t="s">
        <v>52</v>
      </c>
      <c r="I23" s="57">
        <v>2025</v>
      </c>
      <c r="J23" s="57">
        <v>2</v>
      </c>
      <c r="K23" s="29">
        <v>45722</v>
      </c>
      <c r="L23" s="66"/>
      <c r="M23" s="132">
        <v>1.2152000000000001</v>
      </c>
      <c r="N23" s="67">
        <f t="shared" ref="N23:N34" si="20">M23+O23</f>
        <v>1.2565</v>
      </c>
      <c r="O23" s="67">
        <v>4.1300000000000003E-2</v>
      </c>
      <c r="P23" s="68"/>
      <c r="Q23" s="100">
        <v>1</v>
      </c>
      <c r="R23" s="104">
        <f t="shared" ref="R23:R34" si="21">Q23*M23</f>
        <v>1.2152000000000001</v>
      </c>
      <c r="S23" s="73">
        <v>46653</v>
      </c>
      <c r="T23" s="143">
        <f>T17+S23+S24+S25+S26+S27+S28</f>
        <v>5352642</v>
      </c>
      <c r="U23" s="135">
        <v>1100000</v>
      </c>
      <c r="V23" s="135">
        <f>U23-O23*T23</f>
        <v>878935.88540000003</v>
      </c>
      <c r="W23" s="57" t="s">
        <v>53</v>
      </c>
      <c r="X23" s="128" t="s">
        <v>59</v>
      </c>
      <c r="Y23" s="75">
        <v>9.1999999999999993</v>
      </c>
      <c r="Z23" s="75"/>
      <c r="AA23" s="75" t="s">
        <v>55</v>
      </c>
      <c r="AB23" s="76">
        <v>0.85170000000000001</v>
      </c>
      <c r="AC23" s="74">
        <f t="shared" ref="AC23:AC34" si="22">N23*S23</f>
        <v>58619.494500000001</v>
      </c>
      <c r="AD23" s="81">
        <f t="shared" ref="AD23:AD34" si="23">AB23*S23</f>
        <v>39734.360099999998</v>
      </c>
      <c r="AE23" s="73">
        <f t="shared" ref="AE23:AE34" si="24">S23*Y23/1000</f>
        <v>429.20759999999996</v>
      </c>
      <c r="AF23" s="82"/>
    </row>
    <row r="24" spans="2:32" s="44" customFormat="1" ht="25.5" customHeight="1">
      <c r="B24" s="19" t="s">
        <v>10</v>
      </c>
      <c r="C24" s="40" t="s">
        <v>15</v>
      </c>
      <c r="D24" s="57" t="s">
        <v>49</v>
      </c>
      <c r="E24" s="90" t="s">
        <v>50</v>
      </c>
      <c r="F24" s="57" t="s">
        <v>51</v>
      </c>
      <c r="G24" s="57"/>
      <c r="H24" s="58" t="s">
        <v>52</v>
      </c>
      <c r="I24" s="57">
        <v>2025</v>
      </c>
      <c r="J24" s="57">
        <v>2</v>
      </c>
      <c r="K24" s="29">
        <v>45722</v>
      </c>
      <c r="L24" s="66"/>
      <c r="M24" s="67">
        <v>1.2152000000000001</v>
      </c>
      <c r="N24" s="67">
        <f t="shared" si="20"/>
        <v>1.2565</v>
      </c>
      <c r="O24" s="67">
        <v>4.1300000000000003E-2</v>
      </c>
      <c r="P24" s="68"/>
      <c r="Q24" s="100">
        <v>1</v>
      </c>
      <c r="R24" s="104">
        <f t="shared" si="21"/>
        <v>1.2152000000000001</v>
      </c>
      <c r="S24" s="73">
        <v>16500</v>
      </c>
      <c r="T24" s="143"/>
      <c r="U24" s="135"/>
      <c r="V24" s="135"/>
      <c r="W24" s="57" t="s">
        <v>53</v>
      </c>
      <c r="X24" s="128" t="s">
        <v>57</v>
      </c>
      <c r="Y24" s="75">
        <v>9.1999999999999993</v>
      </c>
      <c r="Z24" s="75"/>
      <c r="AA24" s="75" t="s">
        <v>55</v>
      </c>
      <c r="AB24" s="76">
        <v>0.85170000000000001</v>
      </c>
      <c r="AC24" s="74">
        <f t="shared" si="22"/>
        <v>20732.25</v>
      </c>
      <c r="AD24" s="81">
        <f t="shared" si="23"/>
        <v>14053.050000000001</v>
      </c>
      <c r="AE24" s="73">
        <f t="shared" si="24"/>
        <v>151.80000000000001</v>
      </c>
      <c r="AF24" s="82"/>
    </row>
    <row r="25" spans="2:32" s="44" customFormat="1" ht="25.5" customHeight="1">
      <c r="B25" s="19" t="s">
        <v>10</v>
      </c>
      <c r="C25" s="40" t="s">
        <v>15</v>
      </c>
      <c r="D25" s="57" t="s">
        <v>49</v>
      </c>
      <c r="E25" s="90" t="s">
        <v>50</v>
      </c>
      <c r="F25" s="57" t="s">
        <v>51</v>
      </c>
      <c r="G25" s="57"/>
      <c r="H25" s="58" t="s">
        <v>52</v>
      </c>
      <c r="I25" s="57">
        <v>2025</v>
      </c>
      <c r="J25" s="57">
        <v>2</v>
      </c>
      <c r="K25" s="29">
        <v>45722</v>
      </c>
      <c r="L25" s="66"/>
      <c r="M25" s="67">
        <v>1.2152000000000001</v>
      </c>
      <c r="N25" s="67">
        <f t="shared" si="20"/>
        <v>1.2565</v>
      </c>
      <c r="O25" s="67">
        <v>4.1300000000000003E-2</v>
      </c>
      <c r="P25" s="68"/>
      <c r="Q25" s="100">
        <v>1</v>
      </c>
      <c r="R25" s="104">
        <f t="shared" si="21"/>
        <v>1.2152000000000001</v>
      </c>
      <c r="S25" s="73">
        <v>5500</v>
      </c>
      <c r="T25" s="143"/>
      <c r="U25" s="135"/>
      <c r="V25" s="135"/>
      <c r="W25" s="57" t="s">
        <v>53</v>
      </c>
      <c r="X25" s="128" t="s">
        <v>62</v>
      </c>
      <c r="Y25" s="75">
        <v>9.1999999999999993</v>
      </c>
      <c r="Z25" s="75"/>
      <c r="AA25" s="75" t="s">
        <v>55</v>
      </c>
      <c r="AB25" s="76">
        <v>0.85170000000000001</v>
      </c>
      <c r="AC25" s="74">
        <f t="shared" si="22"/>
        <v>6910.75</v>
      </c>
      <c r="AD25" s="81">
        <f t="shared" si="23"/>
        <v>4684.3500000000004</v>
      </c>
      <c r="AE25" s="73">
        <f t="shared" si="24"/>
        <v>50.599999999999994</v>
      </c>
      <c r="AF25" s="82"/>
    </row>
    <row r="26" spans="2:32" s="44" customFormat="1" ht="25.5" customHeight="1">
      <c r="B26" s="19" t="s">
        <v>10</v>
      </c>
      <c r="C26" s="40" t="s">
        <v>15</v>
      </c>
      <c r="D26" s="57" t="s">
        <v>49</v>
      </c>
      <c r="E26" s="90" t="s">
        <v>50</v>
      </c>
      <c r="F26" s="57" t="s">
        <v>51</v>
      </c>
      <c r="G26" s="57"/>
      <c r="H26" s="58" t="s">
        <v>52</v>
      </c>
      <c r="I26" s="57">
        <v>2025</v>
      </c>
      <c r="J26" s="57">
        <v>2</v>
      </c>
      <c r="K26" s="29">
        <v>45722</v>
      </c>
      <c r="L26" s="66"/>
      <c r="M26" s="67">
        <v>1.2152000000000001</v>
      </c>
      <c r="N26" s="67">
        <f t="shared" si="20"/>
        <v>1.2565</v>
      </c>
      <c r="O26" s="67">
        <v>4.1300000000000003E-2</v>
      </c>
      <c r="P26" s="68"/>
      <c r="Q26" s="100">
        <v>1</v>
      </c>
      <c r="R26" s="104">
        <f t="shared" si="21"/>
        <v>1.2152000000000001</v>
      </c>
      <c r="S26" s="73">
        <v>10500</v>
      </c>
      <c r="T26" s="143"/>
      <c r="U26" s="135"/>
      <c r="V26" s="135"/>
      <c r="W26" s="57" t="s">
        <v>53</v>
      </c>
      <c r="X26" s="128" t="s">
        <v>60</v>
      </c>
      <c r="Y26" s="75">
        <v>9.1999999999999993</v>
      </c>
      <c r="Z26" s="75"/>
      <c r="AA26" s="75" t="s">
        <v>55</v>
      </c>
      <c r="AB26" s="76">
        <v>0.85170000000000001</v>
      </c>
      <c r="AC26" s="74">
        <f t="shared" si="22"/>
        <v>13193.25</v>
      </c>
      <c r="AD26" s="81">
        <f t="shared" si="23"/>
        <v>8942.85</v>
      </c>
      <c r="AE26" s="73">
        <f t="shared" si="24"/>
        <v>96.59999999999998</v>
      </c>
      <c r="AF26" s="82"/>
    </row>
    <row r="27" spans="2:32" s="44" customFormat="1" ht="25.5" customHeight="1">
      <c r="B27" s="19" t="s">
        <v>10</v>
      </c>
      <c r="C27" s="40" t="s">
        <v>15</v>
      </c>
      <c r="D27" s="57" t="s">
        <v>49</v>
      </c>
      <c r="E27" s="90" t="s">
        <v>50</v>
      </c>
      <c r="F27" s="57" t="s">
        <v>51</v>
      </c>
      <c r="G27" s="57"/>
      <c r="H27" s="58" t="s">
        <v>52</v>
      </c>
      <c r="I27" s="57">
        <v>2025</v>
      </c>
      <c r="J27" s="57">
        <v>2</v>
      </c>
      <c r="K27" s="29">
        <v>45722</v>
      </c>
      <c r="L27" s="66"/>
      <c r="M27" s="67">
        <v>1.2152000000000001</v>
      </c>
      <c r="N27" s="67">
        <f t="shared" si="20"/>
        <v>1.2565</v>
      </c>
      <c r="O27" s="67">
        <v>4.1300000000000003E-2</v>
      </c>
      <c r="P27" s="68"/>
      <c r="Q27" s="100">
        <v>1</v>
      </c>
      <c r="R27" s="104">
        <f t="shared" si="21"/>
        <v>1.2152000000000001</v>
      </c>
      <c r="S27" s="73">
        <v>10000</v>
      </c>
      <c r="T27" s="143"/>
      <c r="U27" s="135"/>
      <c r="V27" s="135"/>
      <c r="W27" s="57" t="s">
        <v>53</v>
      </c>
      <c r="X27" s="128" t="s">
        <v>61</v>
      </c>
      <c r="Y27" s="75">
        <v>9.1999999999999993</v>
      </c>
      <c r="Z27" s="75"/>
      <c r="AA27" s="75" t="s">
        <v>55</v>
      </c>
      <c r="AB27" s="76">
        <v>0.85170000000000001</v>
      </c>
      <c r="AC27" s="74">
        <f t="shared" si="22"/>
        <v>12565</v>
      </c>
      <c r="AD27" s="81">
        <f t="shared" si="23"/>
        <v>8517</v>
      </c>
      <c r="AE27" s="73">
        <f t="shared" si="24"/>
        <v>92</v>
      </c>
      <c r="AF27" s="82"/>
    </row>
    <row r="28" spans="2:32" s="44" customFormat="1" ht="25.5" customHeight="1">
      <c r="B28" s="19" t="s">
        <v>10</v>
      </c>
      <c r="C28" s="40" t="s">
        <v>15</v>
      </c>
      <c r="D28" s="57" t="s">
        <v>49</v>
      </c>
      <c r="E28" s="90" t="s">
        <v>50</v>
      </c>
      <c r="F28" s="57" t="s">
        <v>51</v>
      </c>
      <c r="G28" s="57"/>
      <c r="H28" s="58" t="s">
        <v>52</v>
      </c>
      <c r="I28" s="57">
        <v>2025</v>
      </c>
      <c r="J28" s="57">
        <v>2</v>
      </c>
      <c r="K28" s="29">
        <v>45722</v>
      </c>
      <c r="L28" s="66"/>
      <c r="M28" s="67">
        <v>1.2152000000000001</v>
      </c>
      <c r="N28" s="67">
        <f t="shared" si="20"/>
        <v>1.2565</v>
      </c>
      <c r="O28" s="67">
        <v>4.1300000000000003E-2</v>
      </c>
      <c r="P28" s="68"/>
      <c r="Q28" s="100">
        <v>1</v>
      </c>
      <c r="R28" s="104">
        <f t="shared" si="21"/>
        <v>1.2152000000000001</v>
      </c>
      <c r="S28" s="73">
        <v>32500</v>
      </c>
      <c r="T28" s="143"/>
      <c r="U28" s="135"/>
      <c r="V28" s="135"/>
      <c r="W28" s="57" t="s">
        <v>53</v>
      </c>
      <c r="X28" s="128" t="s">
        <v>58</v>
      </c>
      <c r="Y28" s="75">
        <v>9.1999999999999993</v>
      </c>
      <c r="Z28" s="75"/>
      <c r="AA28" s="75" t="s">
        <v>55</v>
      </c>
      <c r="AB28" s="76">
        <v>0.85170000000000001</v>
      </c>
      <c r="AC28" s="74">
        <f t="shared" si="22"/>
        <v>40836.25</v>
      </c>
      <c r="AD28" s="81">
        <f t="shared" si="23"/>
        <v>27680.25</v>
      </c>
      <c r="AE28" s="73">
        <f t="shared" si="24"/>
        <v>299</v>
      </c>
      <c r="AF28" s="82"/>
    </row>
    <row r="29" spans="2:32" s="44" customFormat="1" ht="25.5" customHeight="1">
      <c r="B29" s="19" t="s">
        <v>10</v>
      </c>
      <c r="C29" s="40" t="s">
        <v>15</v>
      </c>
      <c r="D29" s="57" t="s">
        <v>63</v>
      </c>
      <c r="E29" s="90" t="s">
        <v>64</v>
      </c>
      <c r="F29" s="57" t="s">
        <v>51</v>
      </c>
      <c r="G29" s="57"/>
      <c r="H29" s="58" t="s">
        <v>52</v>
      </c>
      <c r="I29" s="57">
        <v>2025</v>
      </c>
      <c r="J29" s="57">
        <v>2</v>
      </c>
      <c r="K29" s="29">
        <v>45722</v>
      </c>
      <c r="L29" s="66"/>
      <c r="M29" s="132">
        <v>0.81200000000000006</v>
      </c>
      <c r="N29" s="67">
        <f t="shared" si="20"/>
        <v>0.84610000000000007</v>
      </c>
      <c r="O29" s="67">
        <v>3.4099999999999998E-2</v>
      </c>
      <c r="P29" s="68"/>
      <c r="Q29" s="100">
        <v>1</v>
      </c>
      <c r="R29" s="104">
        <f t="shared" si="21"/>
        <v>0.81200000000000006</v>
      </c>
      <c r="S29" s="73">
        <v>67691</v>
      </c>
      <c r="T29" s="143">
        <f>T35+S29+S30+S31+S32+S33+S34</f>
        <v>5409800</v>
      </c>
      <c r="U29" s="135">
        <v>885000</v>
      </c>
      <c r="V29" s="135">
        <f t="shared" ref="V29" si="25">U29-O29*T29</f>
        <v>700525.82000000007</v>
      </c>
      <c r="W29" s="57" t="s">
        <v>53</v>
      </c>
      <c r="X29" s="128" t="s">
        <v>59</v>
      </c>
      <c r="Y29" s="75">
        <v>4.5999999999999996</v>
      </c>
      <c r="Z29" s="75"/>
      <c r="AA29" s="75" t="s">
        <v>55</v>
      </c>
      <c r="AB29" s="76">
        <v>0.57120000000000004</v>
      </c>
      <c r="AC29" s="74">
        <f t="shared" si="22"/>
        <v>57273.355100000008</v>
      </c>
      <c r="AD29" s="81">
        <f t="shared" si="23"/>
        <v>38665.099200000004</v>
      </c>
      <c r="AE29" s="73">
        <f t="shared" si="24"/>
        <v>311.37859999999995</v>
      </c>
      <c r="AF29" s="82"/>
    </row>
    <row r="30" spans="2:32" s="44" customFormat="1" ht="25.5" customHeight="1">
      <c r="B30" s="19" t="s">
        <v>10</v>
      </c>
      <c r="C30" s="40" t="s">
        <v>15</v>
      </c>
      <c r="D30" s="57" t="s">
        <v>63</v>
      </c>
      <c r="E30" s="90" t="s">
        <v>64</v>
      </c>
      <c r="F30" s="57" t="s">
        <v>51</v>
      </c>
      <c r="G30" s="57"/>
      <c r="H30" s="58" t="s">
        <v>52</v>
      </c>
      <c r="I30" s="57">
        <v>2025</v>
      </c>
      <c r="J30" s="57">
        <v>2</v>
      </c>
      <c r="K30" s="29">
        <v>45722</v>
      </c>
      <c r="L30" s="66"/>
      <c r="M30" s="67">
        <v>0.81200000000000006</v>
      </c>
      <c r="N30" s="67">
        <f t="shared" si="20"/>
        <v>0.84610000000000007</v>
      </c>
      <c r="O30" s="67">
        <v>3.4099999999999998E-2</v>
      </c>
      <c r="P30" s="68"/>
      <c r="Q30" s="100">
        <v>1</v>
      </c>
      <c r="R30" s="104">
        <f t="shared" si="21"/>
        <v>0.81200000000000006</v>
      </c>
      <c r="S30" s="73">
        <v>20502</v>
      </c>
      <c r="T30" s="143"/>
      <c r="U30" s="135"/>
      <c r="V30" s="135"/>
      <c r="W30" s="57" t="s">
        <v>53</v>
      </c>
      <c r="X30" s="128" t="s">
        <v>57</v>
      </c>
      <c r="Y30" s="75">
        <v>4.5999999999999996</v>
      </c>
      <c r="Z30" s="75"/>
      <c r="AA30" s="75" t="s">
        <v>55</v>
      </c>
      <c r="AB30" s="76">
        <v>0.57120000000000004</v>
      </c>
      <c r="AC30" s="74">
        <f t="shared" si="22"/>
        <v>17346.742200000001</v>
      </c>
      <c r="AD30" s="81">
        <f t="shared" si="23"/>
        <v>11710.742400000001</v>
      </c>
      <c r="AE30" s="73">
        <f t="shared" si="24"/>
        <v>94.309200000000004</v>
      </c>
      <c r="AF30" s="82"/>
    </row>
    <row r="31" spans="2:32" s="44" customFormat="1" ht="25.5" customHeight="1">
      <c r="B31" s="19" t="s">
        <v>10</v>
      </c>
      <c r="C31" s="40" t="s">
        <v>15</v>
      </c>
      <c r="D31" s="57" t="s">
        <v>63</v>
      </c>
      <c r="E31" s="90" t="s">
        <v>64</v>
      </c>
      <c r="F31" s="57" t="s">
        <v>51</v>
      </c>
      <c r="G31" s="57"/>
      <c r="H31" s="58" t="s">
        <v>52</v>
      </c>
      <c r="I31" s="57">
        <v>2025</v>
      </c>
      <c r="J31" s="57">
        <v>2</v>
      </c>
      <c r="K31" s="29">
        <v>45722</v>
      </c>
      <c r="L31" s="66"/>
      <c r="M31" s="67">
        <v>0.81200000000000006</v>
      </c>
      <c r="N31" s="67">
        <f t="shared" si="20"/>
        <v>0.84610000000000007</v>
      </c>
      <c r="O31" s="67">
        <v>3.4099999999999998E-2</v>
      </c>
      <c r="P31" s="68"/>
      <c r="Q31" s="100">
        <v>1</v>
      </c>
      <c r="R31" s="104">
        <f t="shared" si="21"/>
        <v>0.81200000000000006</v>
      </c>
      <c r="S31" s="73">
        <v>5500</v>
      </c>
      <c r="T31" s="143"/>
      <c r="U31" s="135"/>
      <c r="V31" s="135"/>
      <c r="W31" s="57" t="s">
        <v>53</v>
      </c>
      <c r="X31" s="128" t="s">
        <v>62</v>
      </c>
      <c r="Y31" s="75">
        <v>4.5999999999999996</v>
      </c>
      <c r="Z31" s="75"/>
      <c r="AA31" s="75" t="s">
        <v>55</v>
      </c>
      <c r="AB31" s="76">
        <v>0.57120000000000004</v>
      </c>
      <c r="AC31" s="74">
        <f t="shared" si="22"/>
        <v>4653.55</v>
      </c>
      <c r="AD31" s="81">
        <f t="shared" si="23"/>
        <v>3141.6000000000004</v>
      </c>
      <c r="AE31" s="73">
        <f t="shared" si="24"/>
        <v>25.299999999999997</v>
      </c>
      <c r="AF31" s="82"/>
    </row>
    <row r="32" spans="2:32" s="44" customFormat="1" ht="25.5" customHeight="1">
      <c r="B32" s="19" t="s">
        <v>10</v>
      </c>
      <c r="C32" s="40" t="s">
        <v>15</v>
      </c>
      <c r="D32" s="57" t="s">
        <v>63</v>
      </c>
      <c r="E32" s="90" t="s">
        <v>64</v>
      </c>
      <c r="F32" s="57" t="s">
        <v>51</v>
      </c>
      <c r="G32" s="57"/>
      <c r="H32" s="58" t="s">
        <v>52</v>
      </c>
      <c r="I32" s="57">
        <v>2025</v>
      </c>
      <c r="J32" s="57">
        <v>2</v>
      </c>
      <c r="K32" s="29">
        <v>45722</v>
      </c>
      <c r="L32" s="66"/>
      <c r="M32" s="67">
        <v>0.81200000000000006</v>
      </c>
      <c r="N32" s="67">
        <f t="shared" si="20"/>
        <v>0.84610000000000007</v>
      </c>
      <c r="O32" s="67">
        <v>3.4099999999999998E-2</v>
      </c>
      <c r="P32" s="68"/>
      <c r="Q32" s="100">
        <v>1</v>
      </c>
      <c r="R32" s="104">
        <f t="shared" si="21"/>
        <v>0.81200000000000006</v>
      </c>
      <c r="S32" s="73">
        <v>20318</v>
      </c>
      <c r="T32" s="143"/>
      <c r="U32" s="135"/>
      <c r="V32" s="135"/>
      <c r="W32" s="57" t="s">
        <v>53</v>
      </c>
      <c r="X32" s="128" t="s">
        <v>60</v>
      </c>
      <c r="Y32" s="75">
        <v>4.5999999999999996</v>
      </c>
      <c r="Z32" s="75"/>
      <c r="AA32" s="75" t="s">
        <v>55</v>
      </c>
      <c r="AB32" s="76">
        <v>0.57120000000000004</v>
      </c>
      <c r="AC32" s="74">
        <f t="shared" si="22"/>
        <v>17191.059800000003</v>
      </c>
      <c r="AD32" s="81">
        <f t="shared" si="23"/>
        <v>11605.641600000001</v>
      </c>
      <c r="AE32" s="73">
        <f t="shared" si="24"/>
        <v>93.462799999999987</v>
      </c>
      <c r="AF32" s="82"/>
    </row>
    <row r="33" spans="2:32" s="44" customFormat="1" ht="25.5" customHeight="1">
      <c r="B33" s="19" t="s">
        <v>10</v>
      </c>
      <c r="C33" s="40" t="s">
        <v>15</v>
      </c>
      <c r="D33" s="57" t="s">
        <v>63</v>
      </c>
      <c r="E33" s="90" t="s">
        <v>64</v>
      </c>
      <c r="F33" s="57" t="s">
        <v>51</v>
      </c>
      <c r="G33" s="57"/>
      <c r="H33" s="58" t="s">
        <v>52</v>
      </c>
      <c r="I33" s="57">
        <v>2025</v>
      </c>
      <c r="J33" s="57">
        <v>2</v>
      </c>
      <c r="K33" s="29">
        <v>45722</v>
      </c>
      <c r="L33" s="66"/>
      <c r="M33" s="67">
        <v>0.81200000000000006</v>
      </c>
      <c r="N33" s="67">
        <f t="shared" si="20"/>
        <v>0.84610000000000007</v>
      </c>
      <c r="O33" s="67">
        <v>3.4099999999999998E-2</v>
      </c>
      <c r="P33" s="68"/>
      <c r="Q33" s="100">
        <v>1</v>
      </c>
      <c r="R33" s="104">
        <f t="shared" si="21"/>
        <v>0.81200000000000006</v>
      </c>
      <c r="S33" s="73">
        <v>30167</v>
      </c>
      <c r="T33" s="143"/>
      <c r="U33" s="135"/>
      <c r="V33" s="135"/>
      <c r="W33" s="57" t="s">
        <v>53</v>
      </c>
      <c r="X33" s="128" t="s">
        <v>61</v>
      </c>
      <c r="Y33" s="75">
        <v>4.5999999999999996</v>
      </c>
      <c r="Z33" s="75"/>
      <c r="AA33" s="75" t="s">
        <v>55</v>
      </c>
      <c r="AB33" s="76">
        <v>0.57120000000000004</v>
      </c>
      <c r="AC33" s="74">
        <f t="shared" si="22"/>
        <v>25524.298700000003</v>
      </c>
      <c r="AD33" s="81">
        <f t="shared" si="23"/>
        <v>17231.3904</v>
      </c>
      <c r="AE33" s="73">
        <f t="shared" si="24"/>
        <v>138.76819999999998</v>
      </c>
      <c r="AF33" s="82"/>
    </row>
    <row r="34" spans="2:32" s="44" customFormat="1" ht="25.5" customHeight="1">
      <c r="B34" s="19" t="s">
        <v>10</v>
      </c>
      <c r="C34" s="40" t="s">
        <v>15</v>
      </c>
      <c r="D34" s="57" t="s">
        <v>63</v>
      </c>
      <c r="E34" s="90" t="s">
        <v>64</v>
      </c>
      <c r="F34" s="57" t="s">
        <v>51</v>
      </c>
      <c r="G34" s="57"/>
      <c r="H34" s="58" t="s">
        <v>52</v>
      </c>
      <c r="I34" s="57">
        <v>2025</v>
      </c>
      <c r="J34" s="57">
        <v>2</v>
      </c>
      <c r="K34" s="29">
        <v>45722</v>
      </c>
      <c r="L34" s="66"/>
      <c r="M34" s="67">
        <v>0.81200000000000006</v>
      </c>
      <c r="N34" s="67">
        <f t="shared" si="20"/>
        <v>0.84610000000000007</v>
      </c>
      <c r="O34" s="67">
        <v>3.4099999999999998E-2</v>
      </c>
      <c r="P34" s="68"/>
      <c r="Q34" s="100">
        <v>1</v>
      </c>
      <c r="R34" s="104">
        <f t="shared" si="21"/>
        <v>0.81200000000000006</v>
      </c>
      <c r="S34" s="73">
        <v>34312</v>
      </c>
      <c r="T34" s="143"/>
      <c r="U34" s="135"/>
      <c r="V34" s="135"/>
      <c r="W34" s="57" t="s">
        <v>53</v>
      </c>
      <c r="X34" s="128" t="s">
        <v>58</v>
      </c>
      <c r="Y34" s="75">
        <v>4.5999999999999996</v>
      </c>
      <c r="Z34" s="75"/>
      <c r="AA34" s="75" t="s">
        <v>55</v>
      </c>
      <c r="AB34" s="76">
        <v>0.57120000000000004</v>
      </c>
      <c r="AC34" s="74">
        <f t="shared" si="22"/>
        <v>29031.383200000004</v>
      </c>
      <c r="AD34" s="81">
        <f t="shared" si="23"/>
        <v>19599.0144</v>
      </c>
      <c r="AE34" s="73">
        <f t="shared" si="24"/>
        <v>157.83519999999999</v>
      </c>
      <c r="AF34" s="82"/>
    </row>
    <row r="35" spans="2:32" s="44" customFormat="1" ht="25.5" hidden="1" customHeight="1">
      <c r="B35" s="19" t="s">
        <v>10</v>
      </c>
      <c r="C35" s="40" t="s">
        <v>15</v>
      </c>
      <c r="D35" s="57" t="s">
        <v>63</v>
      </c>
      <c r="E35" s="90" t="s">
        <v>64</v>
      </c>
      <c r="F35" s="57" t="s">
        <v>51</v>
      </c>
      <c r="G35" s="57"/>
      <c r="H35" s="58" t="s">
        <v>52</v>
      </c>
      <c r="I35" s="57">
        <v>2025</v>
      </c>
      <c r="J35" s="57">
        <v>1</v>
      </c>
      <c r="K35" s="29">
        <v>45705</v>
      </c>
      <c r="L35" s="66"/>
      <c r="M35" s="67">
        <v>0.89900000000000002</v>
      </c>
      <c r="N35" s="67">
        <v>0.93310000000000004</v>
      </c>
      <c r="O35" s="67">
        <v>3.4099999999999998E-2</v>
      </c>
      <c r="P35" s="68"/>
      <c r="Q35" s="100">
        <v>1</v>
      </c>
      <c r="R35" s="104">
        <f t="shared" si="16"/>
        <v>0.89900000000000002</v>
      </c>
      <c r="S35" s="73">
        <v>30441</v>
      </c>
      <c r="T35" s="73">
        <f>T41+S35+S36+S37+S38+S39+S40</f>
        <v>5231310</v>
      </c>
      <c r="U35" s="74">
        <v>885000</v>
      </c>
      <c r="V35" s="74">
        <f t="shared" ref="V35" si="26">U35-O35*T35</f>
        <v>706612.32900000003</v>
      </c>
      <c r="W35" s="57" t="s">
        <v>53</v>
      </c>
      <c r="X35" s="128" t="s">
        <v>57</v>
      </c>
      <c r="Y35" s="75">
        <v>4.5999999999999996</v>
      </c>
      <c r="Z35" s="75"/>
      <c r="AA35" s="75" t="s">
        <v>55</v>
      </c>
      <c r="AB35" s="76">
        <v>0.57120000000000004</v>
      </c>
      <c r="AC35" s="74">
        <f t="shared" si="17"/>
        <v>28404.497100000001</v>
      </c>
      <c r="AD35" s="81">
        <f t="shared" si="18"/>
        <v>17387.8992</v>
      </c>
      <c r="AE35" s="73">
        <f t="shared" si="19"/>
        <v>140.02859999999998</v>
      </c>
      <c r="AF35" s="82"/>
    </row>
    <row r="36" spans="2:32" s="44" customFormat="1" ht="25.5" hidden="1" customHeight="1">
      <c r="B36" s="19" t="s">
        <v>10</v>
      </c>
      <c r="C36" s="40" t="s">
        <v>15</v>
      </c>
      <c r="D36" s="57" t="s">
        <v>63</v>
      </c>
      <c r="E36" s="90" t="s">
        <v>64</v>
      </c>
      <c r="F36" s="57" t="s">
        <v>51</v>
      </c>
      <c r="G36" s="57"/>
      <c r="H36" s="58" t="s">
        <v>52</v>
      </c>
      <c r="I36" s="57">
        <v>2025</v>
      </c>
      <c r="J36" s="57">
        <v>1</v>
      </c>
      <c r="K36" s="29">
        <v>45705</v>
      </c>
      <c r="L36" s="66"/>
      <c r="M36" s="67">
        <v>0.89900000000000002</v>
      </c>
      <c r="N36" s="67">
        <v>0.93310000000000004</v>
      </c>
      <c r="O36" s="67">
        <v>3.4099999999999998E-2</v>
      </c>
      <c r="P36" s="68"/>
      <c r="Q36" s="100">
        <v>1</v>
      </c>
      <c r="R36" s="104">
        <f t="shared" si="16"/>
        <v>0.89900000000000002</v>
      </c>
      <c r="S36" s="73">
        <v>58009</v>
      </c>
      <c r="T36" s="73"/>
      <c r="U36" s="74"/>
      <c r="V36" s="74"/>
      <c r="W36" s="57" t="s">
        <v>53</v>
      </c>
      <c r="X36" s="128" t="s">
        <v>58</v>
      </c>
      <c r="Y36" s="75">
        <v>4.5999999999999996</v>
      </c>
      <c r="Z36" s="75"/>
      <c r="AA36" s="75" t="s">
        <v>55</v>
      </c>
      <c r="AB36" s="76">
        <v>0.57120000000000004</v>
      </c>
      <c r="AC36" s="74">
        <f t="shared" si="17"/>
        <v>54128.197899999999</v>
      </c>
      <c r="AD36" s="81">
        <f t="shared" si="18"/>
        <v>33134.7408</v>
      </c>
      <c r="AE36" s="73">
        <f t="shared" si="19"/>
        <v>266.84139999999996</v>
      </c>
      <c r="AF36" s="82"/>
    </row>
    <row r="37" spans="2:32" s="44" customFormat="1" ht="25.5" hidden="1" customHeight="1">
      <c r="B37" s="19" t="s">
        <v>10</v>
      </c>
      <c r="C37" s="40" t="s">
        <v>15</v>
      </c>
      <c r="D37" s="57" t="s">
        <v>63</v>
      </c>
      <c r="E37" s="90" t="s">
        <v>64</v>
      </c>
      <c r="F37" s="57" t="s">
        <v>51</v>
      </c>
      <c r="G37" s="57"/>
      <c r="H37" s="58" t="s">
        <v>52</v>
      </c>
      <c r="I37" s="57">
        <v>2025</v>
      </c>
      <c r="J37" s="57">
        <v>1</v>
      </c>
      <c r="K37" s="29">
        <v>45705</v>
      </c>
      <c r="L37" s="66"/>
      <c r="M37" s="67">
        <v>0.89900000000000002</v>
      </c>
      <c r="N37" s="67">
        <v>0.93310000000000004</v>
      </c>
      <c r="O37" s="67">
        <v>3.4099999999999998E-2</v>
      </c>
      <c r="P37" s="68"/>
      <c r="Q37" s="100">
        <v>1</v>
      </c>
      <c r="R37" s="104">
        <f t="shared" si="16"/>
        <v>0.89900000000000002</v>
      </c>
      <c r="S37" s="73">
        <v>36050</v>
      </c>
      <c r="T37" s="73"/>
      <c r="U37" s="74"/>
      <c r="V37" s="74"/>
      <c r="W37" s="57" t="s">
        <v>53</v>
      </c>
      <c r="X37" s="128" t="s">
        <v>59</v>
      </c>
      <c r="Y37" s="75">
        <v>4.5999999999999996</v>
      </c>
      <c r="Z37" s="75"/>
      <c r="AA37" s="75" t="s">
        <v>55</v>
      </c>
      <c r="AB37" s="76">
        <v>0.57120000000000004</v>
      </c>
      <c r="AC37" s="74">
        <f t="shared" si="17"/>
        <v>33638.255000000005</v>
      </c>
      <c r="AD37" s="81">
        <f t="shared" si="18"/>
        <v>20591.760000000002</v>
      </c>
      <c r="AE37" s="73">
        <f t="shared" si="19"/>
        <v>165.83</v>
      </c>
      <c r="AF37" s="82"/>
    </row>
    <row r="38" spans="2:32" s="44" customFormat="1" ht="25.5" hidden="1" customHeight="1">
      <c r="B38" s="19" t="s">
        <v>10</v>
      </c>
      <c r="C38" s="40" t="s">
        <v>15</v>
      </c>
      <c r="D38" s="57" t="s">
        <v>63</v>
      </c>
      <c r="E38" s="90" t="s">
        <v>64</v>
      </c>
      <c r="F38" s="57" t="s">
        <v>51</v>
      </c>
      <c r="G38" s="57"/>
      <c r="H38" s="58" t="s">
        <v>52</v>
      </c>
      <c r="I38" s="57">
        <v>2025</v>
      </c>
      <c r="J38" s="57">
        <v>1</v>
      </c>
      <c r="K38" s="29">
        <v>45705</v>
      </c>
      <c r="L38" s="66"/>
      <c r="M38" s="67">
        <v>0.89900000000000002</v>
      </c>
      <c r="N38" s="67">
        <v>0.93310000000000004</v>
      </c>
      <c r="O38" s="67">
        <v>3.4099999999999998E-2</v>
      </c>
      <c r="P38" s="68"/>
      <c r="Q38" s="100">
        <v>1</v>
      </c>
      <c r="R38" s="104">
        <f t="shared" si="16"/>
        <v>0.89900000000000002</v>
      </c>
      <c r="S38" s="73">
        <v>30426</v>
      </c>
      <c r="T38" s="73"/>
      <c r="U38" s="74"/>
      <c r="V38" s="74"/>
      <c r="W38" s="57" t="s">
        <v>53</v>
      </c>
      <c r="X38" s="128" t="s">
        <v>60</v>
      </c>
      <c r="Y38" s="75">
        <v>4.5999999999999996</v>
      </c>
      <c r="Z38" s="75"/>
      <c r="AA38" s="75" t="s">
        <v>55</v>
      </c>
      <c r="AB38" s="76">
        <v>0.57120000000000004</v>
      </c>
      <c r="AC38" s="74">
        <f t="shared" si="17"/>
        <v>28390.500600000003</v>
      </c>
      <c r="AD38" s="81">
        <f t="shared" si="18"/>
        <v>17379.331200000001</v>
      </c>
      <c r="AE38" s="73">
        <f t="shared" si="19"/>
        <v>139.95959999999997</v>
      </c>
      <c r="AF38" s="82"/>
    </row>
    <row r="39" spans="2:32" s="44" customFormat="1" ht="25.5" hidden="1" customHeight="1">
      <c r="B39" s="19" t="s">
        <v>10</v>
      </c>
      <c r="C39" s="40" t="s">
        <v>15</v>
      </c>
      <c r="D39" s="57" t="s">
        <v>63</v>
      </c>
      <c r="E39" s="90" t="s">
        <v>64</v>
      </c>
      <c r="F39" s="57" t="s">
        <v>51</v>
      </c>
      <c r="G39" s="57"/>
      <c r="H39" s="58" t="s">
        <v>52</v>
      </c>
      <c r="I39" s="57">
        <v>2025</v>
      </c>
      <c r="J39" s="57">
        <v>1</v>
      </c>
      <c r="K39" s="29">
        <v>45705</v>
      </c>
      <c r="L39" s="66"/>
      <c r="M39" s="67">
        <v>0.89900000000000002</v>
      </c>
      <c r="N39" s="67">
        <v>0.93310000000000004</v>
      </c>
      <c r="O39" s="67">
        <v>3.4099999999999998E-2</v>
      </c>
      <c r="P39" s="68"/>
      <c r="Q39" s="100">
        <v>1</v>
      </c>
      <c r="R39" s="104">
        <f t="shared" si="16"/>
        <v>0.89900000000000002</v>
      </c>
      <c r="S39" s="73">
        <v>36784</v>
      </c>
      <c r="T39" s="73"/>
      <c r="U39" s="74"/>
      <c r="V39" s="74"/>
      <c r="W39" s="57" t="s">
        <v>53</v>
      </c>
      <c r="X39" s="128" t="s">
        <v>61</v>
      </c>
      <c r="Y39" s="75">
        <v>4.5999999999999996</v>
      </c>
      <c r="Z39" s="75"/>
      <c r="AA39" s="75" t="s">
        <v>55</v>
      </c>
      <c r="AB39" s="76">
        <v>0.57120000000000004</v>
      </c>
      <c r="AC39" s="74">
        <f t="shared" si="17"/>
        <v>34323.150399999999</v>
      </c>
      <c r="AD39" s="81">
        <f t="shared" si="18"/>
        <v>21011.020800000002</v>
      </c>
      <c r="AE39" s="73">
        <f t="shared" si="19"/>
        <v>169.2064</v>
      </c>
      <c r="AF39" s="82"/>
    </row>
    <row r="40" spans="2:32" s="44" customFormat="1" ht="25.5" hidden="1" customHeight="1">
      <c r="B40" s="19" t="s">
        <v>10</v>
      </c>
      <c r="C40" s="40" t="s">
        <v>15</v>
      </c>
      <c r="D40" s="57" t="s">
        <v>63</v>
      </c>
      <c r="E40" s="90" t="s">
        <v>64</v>
      </c>
      <c r="F40" s="57" t="s">
        <v>51</v>
      </c>
      <c r="G40" s="57"/>
      <c r="H40" s="58" t="s">
        <v>52</v>
      </c>
      <c r="I40" s="57">
        <v>2025</v>
      </c>
      <c r="J40" s="57">
        <v>1</v>
      </c>
      <c r="K40" s="29">
        <v>45705</v>
      </c>
      <c r="L40" s="66"/>
      <c r="M40" s="67">
        <v>0.89900000000000002</v>
      </c>
      <c r="N40" s="67">
        <v>0.93310000000000004</v>
      </c>
      <c r="O40" s="67">
        <v>3.4099999999999998E-2</v>
      </c>
      <c r="P40" s="68"/>
      <c r="Q40" s="100">
        <v>1</v>
      </c>
      <c r="R40" s="104">
        <f t="shared" si="16"/>
        <v>0.89900000000000002</v>
      </c>
      <c r="S40" s="73">
        <v>29644</v>
      </c>
      <c r="T40" s="73"/>
      <c r="U40" s="74"/>
      <c r="V40" s="74"/>
      <c r="W40" s="57" t="s">
        <v>53</v>
      </c>
      <c r="X40" s="128" t="s">
        <v>62</v>
      </c>
      <c r="Y40" s="75">
        <v>4.5999999999999996</v>
      </c>
      <c r="Z40" s="75"/>
      <c r="AA40" s="75" t="s">
        <v>55</v>
      </c>
      <c r="AB40" s="76">
        <v>0.57120000000000004</v>
      </c>
      <c r="AC40" s="74">
        <f t="shared" si="17"/>
        <v>27660.8164</v>
      </c>
      <c r="AD40" s="81">
        <f t="shared" si="18"/>
        <v>16932.6528</v>
      </c>
      <c r="AE40" s="73">
        <f t="shared" si="19"/>
        <v>136.36240000000001</v>
      </c>
      <c r="AF40" s="82"/>
    </row>
    <row r="41" spans="2:32" s="44" customFormat="1" ht="25.5" hidden="1" customHeight="1">
      <c r="B41" s="19" t="s">
        <v>10</v>
      </c>
      <c r="C41" s="40" t="s">
        <v>15</v>
      </c>
      <c r="D41" s="57" t="s">
        <v>63</v>
      </c>
      <c r="E41" s="90" t="s">
        <v>64</v>
      </c>
      <c r="F41" s="57" t="s">
        <v>51</v>
      </c>
      <c r="G41" s="57"/>
      <c r="H41" s="58" t="s">
        <v>52</v>
      </c>
      <c r="I41" s="57">
        <v>2024</v>
      </c>
      <c r="J41" s="57">
        <v>12</v>
      </c>
      <c r="K41" s="29">
        <v>45665</v>
      </c>
      <c r="L41" s="66"/>
      <c r="M41" s="67">
        <v>0.89900000000000002</v>
      </c>
      <c r="N41" s="67">
        <v>0.93310000000000004</v>
      </c>
      <c r="O41" s="67">
        <v>3.4099999999999998E-2</v>
      </c>
      <c r="P41" s="68"/>
      <c r="Q41" s="100">
        <v>1</v>
      </c>
      <c r="R41" s="104">
        <f t="shared" si="10"/>
        <v>0.89900000000000002</v>
      </c>
      <c r="S41" s="73">
        <v>424386</v>
      </c>
      <c r="T41" s="73">
        <f>S41+T42</f>
        <v>5009956</v>
      </c>
      <c r="U41" s="74">
        <v>885000</v>
      </c>
      <c r="V41" s="74">
        <f t="shared" ref="V41:V42" si="27">U41-O41*T41</f>
        <v>714160.50040000002</v>
      </c>
      <c r="W41" s="57" t="s">
        <v>53</v>
      </c>
      <c r="X41" s="128" t="s">
        <v>54</v>
      </c>
      <c r="Y41" s="75">
        <v>4.5999999999999996</v>
      </c>
      <c r="Z41" s="75"/>
      <c r="AA41" s="75" t="s">
        <v>55</v>
      </c>
      <c r="AB41" s="76">
        <v>0.57120000000000004</v>
      </c>
      <c r="AC41" s="74">
        <f t="shared" si="7"/>
        <v>395994.57660000003</v>
      </c>
      <c r="AD41" s="81">
        <f t="shared" si="11"/>
        <v>242409.28320000001</v>
      </c>
      <c r="AE41" s="73">
        <f t="shared" si="8"/>
        <v>1952.1755999999998</v>
      </c>
      <c r="AF41" s="82"/>
    </row>
    <row r="42" spans="2:32" s="44" customFormat="1" ht="25.5" hidden="1" customHeight="1">
      <c r="B42" s="19" t="s">
        <v>10</v>
      </c>
      <c r="C42" s="40" t="s">
        <v>15</v>
      </c>
      <c r="D42" s="57" t="s">
        <v>63</v>
      </c>
      <c r="E42" s="90" t="s">
        <v>64</v>
      </c>
      <c r="F42" s="57" t="s">
        <v>51</v>
      </c>
      <c r="G42" s="57"/>
      <c r="H42" s="58" t="s">
        <v>52</v>
      </c>
      <c r="I42" s="57">
        <v>2024</v>
      </c>
      <c r="J42" s="57">
        <v>11</v>
      </c>
      <c r="K42" s="29">
        <v>45629</v>
      </c>
      <c r="L42" s="66"/>
      <c r="M42" s="67">
        <v>0.89900000000000002</v>
      </c>
      <c r="N42" s="67">
        <v>0.93310000000000004</v>
      </c>
      <c r="O42" s="67">
        <v>3.4099999999999998E-2</v>
      </c>
      <c r="P42" s="68"/>
      <c r="Q42" s="100">
        <v>1</v>
      </c>
      <c r="R42" s="104">
        <f t="shared" si="2"/>
        <v>0.89900000000000002</v>
      </c>
      <c r="S42" s="73">
        <v>192997</v>
      </c>
      <c r="T42" s="73">
        <f>S42+T43</f>
        <v>4585570</v>
      </c>
      <c r="U42" s="74">
        <v>885000</v>
      </c>
      <c r="V42" s="74">
        <f t="shared" si="27"/>
        <v>728632.06299999997</v>
      </c>
      <c r="W42" s="57" t="s">
        <v>53</v>
      </c>
      <c r="X42" s="128" t="s">
        <v>54</v>
      </c>
      <c r="Y42" s="75">
        <v>4.5999999999999996</v>
      </c>
      <c r="Z42" s="75"/>
      <c r="AA42" s="75" t="s">
        <v>55</v>
      </c>
      <c r="AB42" s="76">
        <v>0.57120000000000004</v>
      </c>
      <c r="AC42" s="74">
        <f t="shared" si="7"/>
        <v>180085.5007</v>
      </c>
      <c r="AD42" s="81">
        <f t="shared" si="9"/>
        <v>110239.8864</v>
      </c>
      <c r="AE42" s="73">
        <f t="shared" si="8"/>
        <v>887.78620000000001</v>
      </c>
      <c r="AF42" s="82"/>
    </row>
    <row r="43" spans="2:32" s="44" customFormat="1" ht="26.45" hidden="1">
      <c r="B43" s="19" t="s">
        <v>10</v>
      </c>
      <c r="C43" s="40" t="s">
        <v>15</v>
      </c>
      <c r="D43" s="57" t="s">
        <v>63</v>
      </c>
      <c r="E43" s="90" t="s">
        <v>64</v>
      </c>
      <c r="F43" s="57" t="s">
        <v>51</v>
      </c>
      <c r="G43" s="57"/>
      <c r="H43" s="58" t="s">
        <v>52</v>
      </c>
      <c r="I43" s="57">
        <v>2024</v>
      </c>
      <c r="J43" s="57">
        <v>10</v>
      </c>
      <c r="K43" s="29">
        <v>45618</v>
      </c>
      <c r="L43" s="66"/>
      <c r="M43" s="67">
        <v>0.89900000000000002</v>
      </c>
      <c r="N43" s="67">
        <v>0.93310000000000004</v>
      </c>
      <c r="O43" s="67">
        <v>3.4099999999999998E-2</v>
      </c>
      <c r="P43" s="68"/>
      <c r="Q43" s="100">
        <v>1</v>
      </c>
      <c r="R43" s="104">
        <f t="shared" si="2"/>
        <v>0.89900000000000002</v>
      </c>
      <c r="S43" s="73">
        <v>93054</v>
      </c>
      <c r="T43" s="73">
        <f>S43+T44</f>
        <v>4392573</v>
      </c>
      <c r="U43" s="74">
        <v>885000</v>
      </c>
      <c r="V43" s="74">
        <f t="shared" si="3"/>
        <v>735213.26069999998</v>
      </c>
      <c r="W43" s="57" t="s">
        <v>53</v>
      </c>
      <c r="X43" s="128" t="s">
        <v>54</v>
      </c>
      <c r="Y43" s="75">
        <v>4.5999999999999996</v>
      </c>
      <c r="Z43" s="75"/>
      <c r="AA43" s="75" t="s">
        <v>55</v>
      </c>
      <c r="AB43" s="76">
        <v>0.57120000000000004</v>
      </c>
      <c r="AC43" s="74">
        <f t="shared" si="7"/>
        <v>86828.68740000001</v>
      </c>
      <c r="AD43" s="81">
        <f t="shared" si="5"/>
        <v>53152.444800000005</v>
      </c>
      <c r="AE43" s="73">
        <f t="shared" si="8"/>
        <v>428.04839999999996</v>
      </c>
      <c r="AF43" s="82" t="s">
        <v>65</v>
      </c>
    </row>
    <row r="44" spans="2:32" s="44" customFormat="1" ht="17.100000000000001" hidden="1" customHeight="1">
      <c r="B44" s="19" t="s">
        <v>10</v>
      </c>
      <c r="C44" s="40" t="str">
        <f>VLOOKUP(B44,[1]Sheet1!$A:$B,2,0)</f>
        <v>RCS DEVICE</v>
      </c>
      <c r="D44" s="57" t="s">
        <v>63</v>
      </c>
      <c r="E44" s="90" t="s">
        <v>64</v>
      </c>
      <c r="F44" s="57" t="s">
        <v>51</v>
      </c>
      <c r="G44" s="57"/>
      <c r="H44" s="59" t="s">
        <v>52</v>
      </c>
      <c r="I44" s="57">
        <v>2024</v>
      </c>
      <c r="J44" s="57">
        <v>9</v>
      </c>
      <c r="K44" s="29">
        <v>45618</v>
      </c>
      <c r="L44" s="66"/>
      <c r="M44" s="67">
        <v>0.89900000000000002</v>
      </c>
      <c r="N44" s="67">
        <f>M44+O44</f>
        <v>0.93310000000000004</v>
      </c>
      <c r="O44" s="67">
        <v>3.4099999999999998E-2</v>
      </c>
      <c r="P44" s="68">
        <f t="shared" ref="P44:P53" si="28">L44*O44</f>
        <v>0</v>
      </c>
      <c r="Q44" s="100">
        <v>1</v>
      </c>
      <c r="R44" s="104">
        <f t="shared" si="2"/>
        <v>0.89900000000000002</v>
      </c>
      <c r="S44" s="73">
        <v>821542</v>
      </c>
      <c r="T44" s="73">
        <v>4299519</v>
      </c>
      <c r="U44" s="74">
        <v>885000</v>
      </c>
      <c r="V44" s="74">
        <f>U44-O44*T44</f>
        <v>738386.40210000006</v>
      </c>
      <c r="W44" s="57" t="s">
        <v>53</v>
      </c>
      <c r="X44" s="128" t="s">
        <v>54</v>
      </c>
      <c r="Y44" s="75">
        <v>4.5999999999999996</v>
      </c>
      <c r="Z44" s="75"/>
      <c r="AA44" s="75" t="s">
        <v>55</v>
      </c>
      <c r="AB44" s="76">
        <v>0.57120000000000004</v>
      </c>
      <c r="AC44" s="74">
        <f t="shared" si="7"/>
        <v>766580.84019999998</v>
      </c>
      <c r="AD44" s="81">
        <f t="shared" si="5"/>
        <v>469264.79040000006</v>
      </c>
      <c r="AE44" s="73">
        <f t="shared" si="8"/>
        <v>3779.0931999999998</v>
      </c>
      <c r="AF44" s="82" t="s">
        <v>65</v>
      </c>
    </row>
    <row r="45" spans="2:32" s="44" customFormat="1" hidden="1">
      <c r="B45" s="19" t="s">
        <v>10</v>
      </c>
      <c r="C45" s="40" t="s">
        <v>15</v>
      </c>
      <c r="D45" s="57" t="s">
        <v>63</v>
      </c>
      <c r="E45" s="90" t="s">
        <v>64</v>
      </c>
      <c r="F45" s="57" t="s">
        <v>51</v>
      </c>
      <c r="G45" s="57"/>
      <c r="H45" s="59" t="s">
        <v>52</v>
      </c>
      <c r="I45" s="57">
        <v>2024</v>
      </c>
      <c r="J45" s="57">
        <v>8</v>
      </c>
      <c r="K45" s="29">
        <v>45618</v>
      </c>
      <c r="L45" s="66"/>
      <c r="M45" s="67">
        <v>0.89900000000000002</v>
      </c>
      <c r="N45" s="67">
        <v>0.93310000000000004</v>
      </c>
      <c r="O45" s="67">
        <v>3.4099999999999998E-2</v>
      </c>
      <c r="P45" s="68">
        <f t="shared" si="28"/>
        <v>0</v>
      </c>
      <c r="Q45" s="100">
        <v>1</v>
      </c>
      <c r="R45" s="104">
        <f t="shared" si="2"/>
        <v>0.89900000000000002</v>
      </c>
      <c r="S45" s="73">
        <v>598220</v>
      </c>
      <c r="T45" s="73">
        <f t="shared" ref="T45:T52" si="29">S45+T46</f>
        <v>3477977</v>
      </c>
      <c r="U45" s="74">
        <v>885000</v>
      </c>
      <c r="V45" s="74">
        <f t="shared" ref="V45:V67" si="30">U45-O45*T45</f>
        <v>766400.98430000001</v>
      </c>
      <c r="W45" s="57" t="s">
        <v>53</v>
      </c>
      <c r="X45" s="128" t="s">
        <v>54</v>
      </c>
      <c r="Y45" s="75">
        <v>4.5999999999999996</v>
      </c>
      <c r="Z45" s="75"/>
      <c r="AA45" s="75" t="s">
        <v>55</v>
      </c>
      <c r="AB45" s="76">
        <v>0.57120000000000004</v>
      </c>
      <c r="AC45" s="74">
        <f t="shared" ref="AC45:AC67" si="31">N45*S45</f>
        <v>558199.08200000005</v>
      </c>
      <c r="AD45" s="81">
        <f t="shared" si="5"/>
        <v>341703.26400000002</v>
      </c>
      <c r="AE45" s="73">
        <f t="shared" ref="AE45:AE67" si="32">S45*Y45/1000</f>
        <v>2751.8119999999999</v>
      </c>
      <c r="AF45" s="82"/>
    </row>
    <row r="46" spans="2:32" s="44" customFormat="1" hidden="1">
      <c r="B46" s="19" t="s">
        <v>10</v>
      </c>
      <c r="C46" s="40" t="s">
        <v>15</v>
      </c>
      <c r="D46" s="57" t="s">
        <v>63</v>
      </c>
      <c r="E46" s="90" t="s">
        <v>64</v>
      </c>
      <c r="F46" s="57" t="s">
        <v>51</v>
      </c>
      <c r="G46" s="57"/>
      <c r="H46" s="59" t="s">
        <v>52</v>
      </c>
      <c r="I46" s="57">
        <v>2024</v>
      </c>
      <c r="J46" s="57">
        <v>7</v>
      </c>
      <c r="K46" s="29">
        <v>45618</v>
      </c>
      <c r="L46" s="66"/>
      <c r="M46" s="67">
        <v>0.89900000000000002</v>
      </c>
      <c r="N46" s="67">
        <v>0.93310000000000004</v>
      </c>
      <c r="O46" s="67">
        <v>3.4099999999999998E-2</v>
      </c>
      <c r="P46" s="68">
        <f t="shared" si="28"/>
        <v>0</v>
      </c>
      <c r="Q46" s="100">
        <v>1</v>
      </c>
      <c r="R46" s="104">
        <f t="shared" si="2"/>
        <v>0.89900000000000002</v>
      </c>
      <c r="S46" s="73">
        <v>309444</v>
      </c>
      <c r="T46" s="73">
        <f t="shared" si="29"/>
        <v>2879757</v>
      </c>
      <c r="U46" s="74">
        <v>885000</v>
      </c>
      <c r="V46" s="74">
        <f t="shared" si="30"/>
        <v>786800.28630000004</v>
      </c>
      <c r="W46" s="57" t="s">
        <v>53</v>
      </c>
      <c r="X46" s="128" t="s">
        <v>54</v>
      </c>
      <c r="Y46" s="75">
        <v>4.5999999999999996</v>
      </c>
      <c r="Z46" s="75"/>
      <c r="AA46" s="75" t="s">
        <v>55</v>
      </c>
      <c r="AB46" s="76">
        <v>0.57120000000000004</v>
      </c>
      <c r="AC46" s="74">
        <f t="shared" si="31"/>
        <v>288742.19640000002</v>
      </c>
      <c r="AD46" s="81">
        <f t="shared" si="5"/>
        <v>176754.41280000002</v>
      </c>
      <c r="AE46" s="73">
        <f t="shared" si="32"/>
        <v>1423.4423999999999</v>
      </c>
      <c r="AF46" s="82"/>
    </row>
    <row r="47" spans="2:32" s="44" customFormat="1" hidden="1">
      <c r="B47" s="19" t="s">
        <v>10</v>
      </c>
      <c r="C47" s="40" t="s">
        <v>15</v>
      </c>
      <c r="D47" s="57" t="s">
        <v>63</v>
      </c>
      <c r="E47" s="90" t="s">
        <v>64</v>
      </c>
      <c r="F47" s="57" t="s">
        <v>51</v>
      </c>
      <c r="G47" s="57"/>
      <c r="H47" s="59" t="s">
        <v>52</v>
      </c>
      <c r="I47" s="57">
        <v>2024</v>
      </c>
      <c r="J47" s="57">
        <v>6</v>
      </c>
      <c r="K47" s="29">
        <v>45618</v>
      </c>
      <c r="L47" s="66"/>
      <c r="M47" s="67">
        <v>0.89900000000000002</v>
      </c>
      <c r="N47" s="67">
        <v>0.93310000000000004</v>
      </c>
      <c r="O47" s="67">
        <v>3.4099999999999998E-2</v>
      </c>
      <c r="P47" s="68">
        <f t="shared" si="28"/>
        <v>0</v>
      </c>
      <c r="Q47" s="100">
        <v>1</v>
      </c>
      <c r="R47" s="104">
        <f t="shared" si="2"/>
        <v>0.89900000000000002</v>
      </c>
      <c r="S47" s="73">
        <v>822424</v>
      </c>
      <c r="T47" s="73">
        <f t="shared" si="29"/>
        <v>2570313</v>
      </c>
      <c r="U47" s="74">
        <v>885000</v>
      </c>
      <c r="V47" s="74">
        <f t="shared" si="30"/>
        <v>797352.32669999998</v>
      </c>
      <c r="W47" s="57" t="s">
        <v>53</v>
      </c>
      <c r="X47" s="128" t="s">
        <v>54</v>
      </c>
      <c r="Y47" s="75">
        <v>4.5999999999999996</v>
      </c>
      <c r="Z47" s="75"/>
      <c r="AA47" s="75" t="s">
        <v>55</v>
      </c>
      <c r="AB47" s="76">
        <v>0.57120000000000004</v>
      </c>
      <c r="AC47" s="74">
        <f t="shared" si="31"/>
        <v>767403.83440000005</v>
      </c>
      <c r="AD47" s="81">
        <f t="shared" si="5"/>
        <v>469768.58880000003</v>
      </c>
      <c r="AE47" s="73">
        <f t="shared" si="32"/>
        <v>3783.1504</v>
      </c>
      <c r="AF47" s="82"/>
    </row>
    <row r="48" spans="2:32" s="44" customFormat="1" hidden="1">
      <c r="B48" s="19" t="s">
        <v>10</v>
      </c>
      <c r="C48" s="40" t="s">
        <v>15</v>
      </c>
      <c r="D48" s="57" t="s">
        <v>63</v>
      </c>
      <c r="E48" s="90" t="s">
        <v>64</v>
      </c>
      <c r="F48" s="57" t="s">
        <v>51</v>
      </c>
      <c r="G48" s="57"/>
      <c r="H48" s="59" t="s">
        <v>52</v>
      </c>
      <c r="I48" s="57">
        <v>2024</v>
      </c>
      <c r="J48" s="57">
        <v>5</v>
      </c>
      <c r="K48" s="29">
        <v>45618</v>
      </c>
      <c r="L48" s="66"/>
      <c r="M48" s="67">
        <v>0.89900000000000002</v>
      </c>
      <c r="N48" s="67">
        <v>0.93310000000000004</v>
      </c>
      <c r="O48" s="67">
        <v>3.4099999999999998E-2</v>
      </c>
      <c r="P48" s="68">
        <f t="shared" si="28"/>
        <v>0</v>
      </c>
      <c r="Q48" s="100">
        <v>1</v>
      </c>
      <c r="R48" s="104">
        <f t="shared" si="2"/>
        <v>0.89900000000000002</v>
      </c>
      <c r="S48" s="73">
        <v>979428</v>
      </c>
      <c r="T48" s="73">
        <f t="shared" si="29"/>
        <v>1747889</v>
      </c>
      <c r="U48" s="74">
        <v>885000</v>
      </c>
      <c r="V48" s="74">
        <f t="shared" si="30"/>
        <v>825396.98510000005</v>
      </c>
      <c r="W48" s="57" t="s">
        <v>53</v>
      </c>
      <c r="X48" s="128" t="s">
        <v>54</v>
      </c>
      <c r="Y48" s="75">
        <v>4.5999999999999996</v>
      </c>
      <c r="Z48" s="75"/>
      <c r="AA48" s="75" t="s">
        <v>55</v>
      </c>
      <c r="AB48" s="76">
        <v>0.57120000000000004</v>
      </c>
      <c r="AC48" s="74">
        <f t="shared" si="31"/>
        <v>913904.26679999998</v>
      </c>
      <c r="AD48" s="81">
        <f t="shared" si="5"/>
        <v>559449.27360000007</v>
      </c>
      <c r="AE48" s="73">
        <f t="shared" si="32"/>
        <v>4505.3688000000002</v>
      </c>
      <c r="AF48" s="82"/>
    </row>
    <row r="49" spans="2:32" s="44" customFormat="1" hidden="1">
      <c r="B49" s="19" t="s">
        <v>10</v>
      </c>
      <c r="C49" s="40" t="s">
        <v>15</v>
      </c>
      <c r="D49" s="57" t="s">
        <v>63</v>
      </c>
      <c r="E49" s="90" t="s">
        <v>64</v>
      </c>
      <c r="F49" s="57" t="s">
        <v>51</v>
      </c>
      <c r="G49" s="57"/>
      <c r="H49" s="59" t="s">
        <v>52</v>
      </c>
      <c r="I49" s="57">
        <v>2024</v>
      </c>
      <c r="J49" s="57">
        <v>4</v>
      </c>
      <c r="K49" s="29">
        <v>45618</v>
      </c>
      <c r="L49" s="66"/>
      <c r="M49" s="67">
        <v>0.89900000000000002</v>
      </c>
      <c r="N49" s="67">
        <v>0.93310000000000004</v>
      </c>
      <c r="O49" s="67">
        <v>3.4099999999999998E-2</v>
      </c>
      <c r="P49" s="68">
        <f t="shared" si="28"/>
        <v>0</v>
      </c>
      <c r="Q49" s="100">
        <v>1</v>
      </c>
      <c r="R49" s="104">
        <f t="shared" si="2"/>
        <v>0.89900000000000002</v>
      </c>
      <c r="S49" s="73">
        <v>742060</v>
      </c>
      <c r="T49" s="73">
        <f t="shared" si="29"/>
        <v>768461</v>
      </c>
      <c r="U49" s="74">
        <v>885000</v>
      </c>
      <c r="V49" s="74">
        <f t="shared" si="30"/>
        <v>858795.47990000003</v>
      </c>
      <c r="W49" s="57" t="s">
        <v>53</v>
      </c>
      <c r="X49" s="128" t="s">
        <v>54</v>
      </c>
      <c r="Y49" s="75">
        <v>4.5999999999999996</v>
      </c>
      <c r="Z49" s="75"/>
      <c r="AA49" s="75" t="s">
        <v>55</v>
      </c>
      <c r="AB49" s="76">
        <v>0.57120000000000004</v>
      </c>
      <c r="AC49" s="74">
        <f t="shared" si="31"/>
        <v>692416.18599999999</v>
      </c>
      <c r="AD49" s="81">
        <f t="shared" si="5"/>
        <v>423864.67200000002</v>
      </c>
      <c r="AE49" s="73">
        <f t="shared" si="32"/>
        <v>3413.4759999999997</v>
      </c>
      <c r="AF49" s="82"/>
    </row>
    <row r="50" spans="2:32" s="44" customFormat="1" hidden="1">
      <c r="B50" s="19" t="s">
        <v>10</v>
      </c>
      <c r="C50" s="40" t="s">
        <v>15</v>
      </c>
      <c r="D50" s="57" t="s">
        <v>63</v>
      </c>
      <c r="E50" s="90" t="s">
        <v>64</v>
      </c>
      <c r="F50" s="57" t="s">
        <v>51</v>
      </c>
      <c r="G50" s="57"/>
      <c r="H50" s="59" t="s">
        <v>52</v>
      </c>
      <c r="I50" s="57">
        <v>2024</v>
      </c>
      <c r="J50" s="57">
        <v>3</v>
      </c>
      <c r="K50" s="29">
        <v>45618</v>
      </c>
      <c r="L50" s="66"/>
      <c r="M50" s="67">
        <v>0.89900000000000002</v>
      </c>
      <c r="N50" s="67">
        <v>0.93310000000000004</v>
      </c>
      <c r="O50" s="67">
        <v>3.4099999999999998E-2</v>
      </c>
      <c r="P50" s="68">
        <f t="shared" si="28"/>
        <v>0</v>
      </c>
      <c r="Q50" s="100">
        <v>1</v>
      </c>
      <c r="R50" s="104">
        <f t="shared" si="2"/>
        <v>0.89900000000000002</v>
      </c>
      <c r="S50" s="73">
        <v>7800</v>
      </c>
      <c r="T50" s="73">
        <f t="shared" si="29"/>
        <v>26401</v>
      </c>
      <c r="U50" s="74">
        <v>885000</v>
      </c>
      <c r="V50" s="74">
        <f t="shared" si="30"/>
        <v>884099.72589999996</v>
      </c>
      <c r="W50" s="57" t="s">
        <v>53</v>
      </c>
      <c r="X50" s="128" t="s">
        <v>54</v>
      </c>
      <c r="Y50" s="75">
        <v>4.5999999999999996</v>
      </c>
      <c r="Z50" s="75"/>
      <c r="AA50" s="75" t="s">
        <v>55</v>
      </c>
      <c r="AB50" s="76">
        <v>0.57120000000000004</v>
      </c>
      <c r="AC50" s="74">
        <f t="shared" si="31"/>
        <v>7278.18</v>
      </c>
      <c r="AD50" s="81">
        <f t="shared" si="5"/>
        <v>4455.3600000000006</v>
      </c>
      <c r="AE50" s="73">
        <f t="shared" si="32"/>
        <v>35.880000000000003</v>
      </c>
      <c r="AF50" s="82"/>
    </row>
    <row r="51" spans="2:32" s="44" customFormat="1" hidden="1">
      <c r="B51" s="19" t="s">
        <v>10</v>
      </c>
      <c r="C51" s="40" t="s">
        <v>15</v>
      </c>
      <c r="D51" s="57" t="s">
        <v>63</v>
      </c>
      <c r="E51" s="90" t="s">
        <v>64</v>
      </c>
      <c r="F51" s="57" t="s">
        <v>51</v>
      </c>
      <c r="G51" s="57"/>
      <c r="H51" s="59" t="s">
        <v>52</v>
      </c>
      <c r="I51" s="57">
        <v>2024</v>
      </c>
      <c r="J51" s="57">
        <v>1</v>
      </c>
      <c r="K51" s="29">
        <v>45618</v>
      </c>
      <c r="L51" s="66"/>
      <c r="M51" s="67">
        <v>0.89900000000000002</v>
      </c>
      <c r="N51" s="67">
        <v>0.93310000000000004</v>
      </c>
      <c r="O51" s="67">
        <v>3.4099999999999998E-2</v>
      </c>
      <c r="P51" s="68">
        <f t="shared" si="28"/>
        <v>0</v>
      </c>
      <c r="Q51" s="100">
        <v>1</v>
      </c>
      <c r="R51" s="104">
        <f t="shared" si="2"/>
        <v>0.89900000000000002</v>
      </c>
      <c r="S51" s="73">
        <v>1300</v>
      </c>
      <c r="T51" s="73">
        <f t="shared" si="29"/>
        <v>18601</v>
      </c>
      <c r="U51" s="74">
        <v>885000</v>
      </c>
      <c r="V51" s="74">
        <f t="shared" si="30"/>
        <v>884365.70589999994</v>
      </c>
      <c r="W51" s="57" t="s">
        <v>53</v>
      </c>
      <c r="X51" s="128" t="s">
        <v>54</v>
      </c>
      <c r="Y51" s="75">
        <v>4.5999999999999996</v>
      </c>
      <c r="Z51" s="75"/>
      <c r="AA51" s="75" t="s">
        <v>55</v>
      </c>
      <c r="AB51" s="76">
        <v>0.57120000000000004</v>
      </c>
      <c r="AC51" s="74">
        <f t="shared" si="31"/>
        <v>1213.03</v>
      </c>
      <c r="AD51" s="81">
        <f t="shared" si="5"/>
        <v>742.56000000000006</v>
      </c>
      <c r="AE51" s="73">
        <f t="shared" si="32"/>
        <v>5.9799999999999986</v>
      </c>
      <c r="AF51" s="82"/>
    </row>
    <row r="52" spans="2:32" s="44" customFormat="1" hidden="1">
      <c r="B52" s="19" t="s">
        <v>10</v>
      </c>
      <c r="C52" s="40" t="s">
        <v>15</v>
      </c>
      <c r="D52" s="57" t="s">
        <v>63</v>
      </c>
      <c r="E52" s="90" t="s">
        <v>64</v>
      </c>
      <c r="F52" s="57" t="s">
        <v>51</v>
      </c>
      <c r="G52" s="57"/>
      <c r="H52" s="59" t="s">
        <v>52</v>
      </c>
      <c r="I52" s="57">
        <v>2023</v>
      </c>
      <c r="J52" s="57">
        <v>12</v>
      </c>
      <c r="K52" s="29">
        <v>45618</v>
      </c>
      <c r="L52" s="66"/>
      <c r="M52" s="67">
        <v>0.89900000000000002</v>
      </c>
      <c r="N52" s="67">
        <v>0.93310000000000004</v>
      </c>
      <c r="O52" s="67">
        <v>3.4099999999999998E-2</v>
      </c>
      <c r="P52" s="68">
        <f t="shared" si="28"/>
        <v>0</v>
      </c>
      <c r="Q52" s="100">
        <v>1</v>
      </c>
      <c r="R52" s="104">
        <f t="shared" si="2"/>
        <v>0.89900000000000002</v>
      </c>
      <c r="S52" s="73">
        <v>13612</v>
      </c>
      <c r="T52" s="73">
        <f t="shared" si="29"/>
        <v>17301</v>
      </c>
      <c r="U52" s="74">
        <v>885000</v>
      </c>
      <c r="V52" s="74">
        <f t="shared" si="30"/>
        <v>884410.03590000002</v>
      </c>
      <c r="W52" s="57" t="s">
        <v>53</v>
      </c>
      <c r="X52" s="128" t="s">
        <v>54</v>
      </c>
      <c r="Y52" s="75">
        <v>4.5999999999999996</v>
      </c>
      <c r="Z52" s="75"/>
      <c r="AA52" s="75" t="s">
        <v>55</v>
      </c>
      <c r="AB52" s="76">
        <v>0.57120000000000004</v>
      </c>
      <c r="AC52" s="74">
        <f t="shared" si="31"/>
        <v>12701.3572</v>
      </c>
      <c r="AD52" s="81">
        <f t="shared" si="5"/>
        <v>7775.1744000000008</v>
      </c>
      <c r="AE52" s="73">
        <f t="shared" si="32"/>
        <v>62.615199999999994</v>
      </c>
      <c r="AF52" s="82"/>
    </row>
    <row r="53" spans="2:32" s="44" customFormat="1" hidden="1">
      <c r="B53" s="19" t="s">
        <v>10</v>
      </c>
      <c r="C53" s="40" t="s">
        <v>15</v>
      </c>
      <c r="D53" s="57" t="s">
        <v>63</v>
      </c>
      <c r="E53" s="90" t="s">
        <v>64</v>
      </c>
      <c r="F53" s="57" t="s">
        <v>51</v>
      </c>
      <c r="G53" s="57"/>
      <c r="H53" s="59" t="s">
        <v>52</v>
      </c>
      <c r="I53" s="57">
        <v>2023</v>
      </c>
      <c r="J53" s="57">
        <v>11</v>
      </c>
      <c r="K53" s="29">
        <v>45618</v>
      </c>
      <c r="L53" s="66"/>
      <c r="M53" s="67">
        <v>0.89900000000000002</v>
      </c>
      <c r="N53" s="67">
        <v>0.93310000000000004</v>
      </c>
      <c r="O53" s="67">
        <v>3.4099999999999998E-2</v>
      </c>
      <c r="P53" s="68">
        <f t="shared" si="28"/>
        <v>0</v>
      </c>
      <c r="Q53" s="100">
        <v>1</v>
      </c>
      <c r="R53" s="104">
        <f t="shared" si="2"/>
        <v>0.89900000000000002</v>
      </c>
      <c r="S53" s="73">
        <v>3689</v>
      </c>
      <c r="T53" s="73">
        <f>S53</f>
        <v>3689</v>
      </c>
      <c r="U53" s="74">
        <v>885000</v>
      </c>
      <c r="V53" s="74">
        <f t="shared" si="30"/>
        <v>884874.20510000002</v>
      </c>
      <c r="W53" s="57" t="s">
        <v>53</v>
      </c>
      <c r="X53" s="128" t="s">
        <v>54</v>
      </c>
      <c r="Y53" s="75">
        <v>4.5999999999999996</v>
      </c>
      <c r="Z53" s="75"/>
      <c r="AA53" s="75" t="s">
        <v>55</v>
      </c>
      <c r="AB53" s="76">
        <v>0.57120000000000004</v>
      </c>
      <c r="AC53" s="74">
        <f t="shared" si="31"/>
        <v>3442.2058999999999</v>
      </c>
      <c r="AD53" s="81">
        <f t="shared" si="5"/>
        <v>2107.1568000000002</v>
      </c>
      <c r="AE53" s="73">
        <f t="shared" si="32"/>
        <v>16.969399999999997</v>
      </c>
      <c r="AF53" s="82"/>
    </row>
    <row r="54" spans="2:32" s="44" customFormat="1">
      <c r="B54" s="19" t="s">
        <v>10</v>
      </c>
      <c r="C54" s="40" t="s">
        <v>15</v>
      </c>
      <c r="D54" s="57" t="s">
        <v>66</v>
      </c>
      <c r="E54" s="90" t="s">
        <v>67</v>
      </c>
      <c r="F54" s="57" t="s">
        <v>51</v>
      </c>
      <c r="G54" s="57"/>
      <c r="H54" s="59" t="s">
        <v>52</v>
      </c>
      <c r="I54" s="57">
        <v>2025</v>
      </c>
      <c r="J54" s="57">
        <v>2</v>
      </c>
      <c r="K54" s="29">
        <v>45722</v>
      </c>
      <c r="L54" s="66"/>
      <c r="M54" s="132">
        <v>0.12690000000000001</v>
      </c>
      <c r="N54" s="67">
        <f>M54+O54</f>
        <v>0.14252500000000001</v>
      </c>
      <c r="O54" s="67">
        <v>1.5625E-2</v>
      </c>
      <c r="P54" s="68"/>
      <c r="Q54" s="100">
        <v>1</v>
      </c>
      <c r="R54" s="104">
        <f t="shared" ref="R54:R58" si="33">Q54*M54</f>
        <v>0.12690000000000001</v>
      </c>
      <c r="S54" s="73">
        <v>56956</v>
      </c>
      <c r="T54" s="143">
        <f>T59+S54+S55+S56+S57+S58</f>
        <v>5397455</v>
      </c>
      <c r="U54" s="135">
        <v>250000</v>
      </c>
      <c r="V54" s="136">
        <f t="shared" si="30"/>
        <v>165664.765625</v>
      </c>
      <c r="W54" s="57" t="s">
        <v>53</v>
      </c>
      <c r="X54" s="128" t="s">
        <v>59</v>
      </c>
      <c r="Y54" s="75">
        <v>0.55000000000000004</v>
      </c>
      <c r="Z54" s="75"/>
      <c r="AA54" s="75"/>
      <c r="AB54" s="76"/>
      <c r="AC54" s="78">
        <f t="shared" si="31"/>
        <v>8117.6539000000012</v>
      </c>
      <c r="AD54" s="81"/>
      <c r="AE54" s="77">
        <f t="shared" si="32"/>
        <v>31.325800000000005</v>
      </c>
      <c r="AF54" s="82"/>
    </row>
    <row r="55" spans="2:32" s="44" customFormat="1">
      <c r="B55" s="19" t="s">
        <v>10</v>
      </c>
      <c r="C55" s="40" t="s">
        <v>15</v>
      </c>
      <c r="D55" s="57" t="s">
        <v>66</v>
      </c>
      <c r="E55" s="90" t="s">
        <v>67</v>
      </c>
      <c r="F55" s="57" t="s">
        <v>51</v>
      </c>
      <c r="G55" s="57"/>
      <c r="H55" s="59" t="s">
        <v>52</v>
      </c>
      <c r="I55" s="57">
        <v>2025</v>
      </c>
      <c r="J55" s="57">
        <v>2</v>
      </c>
      <c r="K55" s="29">
        <v>45722</v>
      </c>
      <c r="L55" s="66"/>
      <c r="M55" s="67">
        <v>0.12690000000000001</v>
      </c>
      <c r="N55" s="67">
        <f>M55+O55</f>
        <v>0.14252500000000001</v>
      </c>
      <c r="O55" s="67">
        <v>1.5625E-2</v>
      </c>
      <c r="P55" s="68"/>
      <c r="Q55" s="100">
        <v>1</v>
      </c>
      <c r="R55" s="104">
        <f t="shared" si="33"/>
        <v>0.12690000000000001</v>
      </c>
      <c r="S55" s="73">
        <v>14982</v>
      </c>
      <c r="T55" s="143"/>
      <c r="U55" s="135"/>
      <c r="V55" s="135"/>
      <c r="W55" s="57" t="s">
        <v>53</v>
      </c>
      <c r="X55" s="128" t="s">
        <v>57</v>
      </c>
      <c r="Y55" s="75">
        <v>0.55000000000000004</v>
      </c>
      <c r="Z55" s="75"/>
      <c r="AA55" s="75"/>
      <c r="AB55" s="76"/>
      <c r="AC55" s="78">
        <f t="shared" si="31"/>
        <v>2135.3095500000004</v>
      </c>
      <c r="AD55" s="81"/>
      <c r="AE55" s="77">
        <f t="shared" si="32"/>
        <v>8.2401</v>
      </c>
      <c r="AF55" s="82"/>
    </row>
    <row r="56" spans="2:32" s="44" customFormat="1">
      <c r="B56" s="19" t="s">
        <v>10</v>
      </c>
      <c r="C56" s="40" t="s">
        <v>15</v>
      </c>
      <c r="D56" s="57" t="s">
        <v>66</v>
      </c>
      <c r="E56" s="90" t="s">
        <v>67</v>
      </c>
      <c r="F56" s="57" t="s">
        <v>51</v>
      </c>
      <c r="G56" s="57"/>
      <c r="H56" s="59" t="s">
        <v>52</v>
      </c>
      <c r="I56" s="57">
        <v>2025</v>
      </c>
      <c r="J56" s="57">
        <v>2</v>
      </c>
      <c r="K56" s="29">
        <v>45722</v>
      </c>
      <c r="L56" s="66"/>
      <c r="M56" s="67">
        <v>0.12690000000000001</v>
      </c>
      <c r="N56" s="67">
        <f>M56+O56</f>
        <v>0.14252500000000001</v>
      </c>
      <c r="O56" s="67">
        <v>1.5625E-2</v>
      </c>
      <c r="P56" s="68"/>
      <c r="Q56" s="100">
        <v>1</v>
      </c>
      <c r="R56" s="104">
        <f t="shared" si="33"/>
        <v>0.12690000000000001</v>
      </c>
      <c r="S56" s="73">
        <v>19961</v>
      </c>
      <c r="T56" s="143"/>
      <c r="U56" s="135"/>
      <c r="V56" s="135"/>
      <c r="W56" s="57" t="s">
        <v>53</v>
      </c>
      <c r="X56" s="128" t="s">
        <v>60</v>
      </c>
      <c r="Y56" s="75">
        <v>0.55000000000000004</v>
      </c>
      <c r="Z56" s="75"/>
      <c r="AA56" s="75"/>
      <c r="AB56" s="76"/>
      <c r="AC56" s="78">
        <f t="shared" si="31"/>
        <v>2844.9415250000002</v>
      </c>
      <c r="AD56" s="81"/>
      <c r="AE56" s="77">
        <f t="shared" si="32"/>
        <v>10.97855</v>
      </c>
      <c r="AF56" s="82"/>
    </row>
    <row r="57" spans="2:32" s="44" customFormat="1">
      <c r="B57" s="19" t="s">
        <v>10</v>
      </c>
      <c r="C57" s="40" t="s">
        <v>15</v>
      </c>
      <c r="D57" s="57" t="s">
        <v>66</v>
      </c>
      <c r="E57" s="90" t="s">
        <v>67</v>
      </c>
      <c r="F57" s="57" t="s">
        <v>51</v>
      </c>
      <c r="G57" s="57"/>
      <c r="H57" s="59" t="s">
        <v>52</v>
      </c>
      <c r="I57" s="57">
        <v>2025</v>
      </c>
      <c r="J57" s="57">
        <v>2</v>
      </c>
      <c r="K57" s="29">
        <v>45722</v>
      </c>
      <c r="L57" s="66"/>
      <c r="M57" s="67">
        <v>0.12690000000000001</v>
      </c>
      <c r="N57" s="67">
        <f>M57+O57</f>
        <v>0.14252500000000001</v>
      </c>
      <c r="O57" s="67">
        <v>1.5625E-2</v>
      </c>
      <c r="P57" s="68"/>
      <c r="Q57" s="100">
        <v>1</v>
      </c>
      <c r="R57" s="104">
        <f t="shared" si="33"/>
        <v>0.12690000000000001</v>
      </c>
      <c r="S57" s="73">
        <v>35416</v>
      </c>
      <c r="T57" s="143"/>
      <c r="U57" s="135"/>
      <c r="V57" s="135"/>
      <c r="W57" s="57" t="s">
        <v>53</v>
      </c>
      <c r="X57" s="128" t="s">
        <v>61</v>
      </c>
      <c r="Y57" s="75">
        <v>0.55000000000000004</v>
      </c>
      <c r="Z57" s="75"/>
      <c r="AA57" s="75"/>
      <c r="AB57" s="76"/>
      <c r="AC57" s="78">
        <f t="shared" si="31"/>
        <v>5047.6654000000008</v>
      </c>
      <c r="AD57" s="81"/>
      <c r="AE57" s="77">
        <f t="shared" si="32"/>
        <v>19.478800000000003</v>
      </c>
      <c r="AF57" s="82"/>
    </row>
    <row r="58" spans="2:32" s="44" customFormat="1">
      <c r="B58" s="19" t="s">
        <v>10</v>
      </c>
      <c r="C58" s="40" t="s">
        <v>15</v>
      </c>
      <c r="D58" s="57" t="s">
        <v>66</v>
      </c>
      <c r="E58" s="90" t="s">
        <v>67</v>
      </c>
      <c r="F58" s="57" t="s">
        <v>51</v>
      </c>
      <c r="G58" s="57"/>
      <c r="H58" s="59" t="s">
        <v>52</v>
      </c>
      <c r="I58" s="57">
        <v>2025</v>
      </c>
      <c r="J58" s="57">
        <v>2</v>
      </c>
      <c r="K58" s="29">
        <v>45722</v>
      </c>
      <c r="L58" s="66"/>
      <c r="M58" s="67">
        <v>0.12690000000000001</v>
      </c>
      <c r="N58" s="67">
        <f>M58+O58</f>
        <v>0.14252500000000001</v>
      </c>
      <c r="O58" s="67">
        <v>1.5625E-2</v>
      </c>
      <c r="P58" s="68"/>
      <c r="Q58" s="100">
        <v>1</v>
      </c>
      <c r="R58" s="104">
        <f t="shared" si="33"/>
        <v>0.12690000000000001</v>
      </c>
      <c r="S58" s="73">
        <v>15000</v>
      </c>
      <c r="T58" s="143"/>
      <c r="U58" s="135"/>
      <c r="V58" s="135"/>
      <c r="W58" s="57" t="s">
        <v>53</v>
      </c>
      <c r="X58" s="128" t="s">
        <v>58</v>
      </c>
      <c r="Y58" s="75">
        <v>0.55000000000000004</v>
      </c>
      <c r="Z58" s="75"/>
      <c r="AA58" s="75"/>
      <c r="AB58" s="76"/>
      <c r="AC58" s="78">
        <f t="shared" si="31"/>
        <v>2137.875</v>
      </c>
      <c r="AD58" s="81"/>
      <c r="AE58" s="77">
        <f t="shared" si="32"/>
        <v>8.25</v>
      </c>
      <c r="AF58" s="82"/>
    </row>
    <row r="59" spans="2:32" s="44" customFormat="1" hidden="1">
      <c r="B59" s="19" t="s">
        <v>10</v>
      </c>
      <c r="C59" s="40" t="s">
        <v>15</v>
      </c>
      <c r="D59" s="57" t="s">
        <v>66</v>
      </c>
      <c r="E59" s="90" t="s">
        <v>67</v>
      </c>
      <c r="F59" s="57" t="s">
        <v>51</v>
      </c>
      <c r="G59" s="57"/>
      <c r="H59" s="59" t="s">
        <v>52</v>
      </c>
      <c r="I59" s="57">
        <v>2025</v>
      </c>
      <c r="J59" s="57">
        <v>1</v>
      </c>
      <c r="K59" s="29">
        <v>45705</v>
      </c>
      <c r="L59" s="66"/>
      <c r="M59" s="67">
        <v>0.14000000000000001</v>
      </c>
      <c r="N59" s="67">
        <v>0.15562500000000001</v>
      </c>
      <c r="O59" s="67">
        <v>1.5625E-2</v>
      </c>
      <c r="P59" s="68"/>
      <c r="Q59" s="100">
        <v>1</v>
      </c>
      <c r="R59" s="104">
        <f t="shared" si="2"/>
        <v>0.14000000000000001</v>
      </c>
      <c r="S59" s="73">
        <v>41487</v>
      </c>
      <c r="T59" s="73">
        <f>T65+S59+S60+S61+S62+S63+S64</f>
        <v>5255140</v>
      </c>
      <c r="U59" s="74">
        <v>250000</v>
      </c>
      <c r="V59" s="78">
        <f t="shared" ref="V59" si="34">U59-O59*T59</f>
        <v>167888.4375</v>
      </c>
      <c r="W59" s="57" t="s">
        <v>53</v>
      </c>
      <c r="X59" s="128" t="s">
        <v>59</v>
      </c>
      <c r="Y59" s="75">
        <v>0.55000000000000004</v>
      </c>
      <c r="Z59" s="75"/>
      <c r="AA59" s="75"/>
      <c r="AB59" s="76"/>
      <c r="AC59" s="78">
        <f t="shared" ref="AC59:AC64" si="35">N59*S59</f>
        <v>6456.4143750000003</v>
      </c>
      <c r="AD59" s="81"/>
      <c r="AE59" s="77">
        <f t="shared" ref="AE59:AE64" si="36">S59*Y59/1000</f>
        <v>22.817850000000004</v>
      </c>
      <c r="AF59" s="82"/>
    </row>
    <row r="60" spans="2:32" s="44" customFormat="1" hidden="1">
      <c r="B60" s="19" t="s">
        <v>10</v>
      </c>
      <c r="C60" s="40" t="s">
        <v>15</v>
      </c>
      <c r="D60" s="57" t="s">
        <v>66</v>
      </c>
      <c r="E60" s="90" t="s">
        <v>67</v>
      </c>
      <c r="F60" s="57" t="s">
        <v>51</v>
      </c>
      <c r="G60" s="57"/>
      <c r="H60" s="59" t="s">
        <v>52</v>
      </c>
      <c r="I60" s="57">
        <v>2025</v>
      </c>
      <c r="J60" s="57">
        <v>1</v>
      </c>
      <c r="K60" s="29">
        <v>45705</v>
      </c>
      <c r="L60" s="66"/>
      <c r="M60" s="67">
        <v>0.14000000000000001</v>
      </c>
      <c r="N60" s="67">
        <v>0.15562500000000001</v>
      </c>
      <c r="O60" s="67">
        <v>1.5625E-2</v>
      </c>
      <c r="P60" s="68"/>
      <c r="Q60" s="100">
        <v>1</v>
      </c>
      <c r="R60" s="104">
        <f t="shared" si="2"/>
        <v>0.14000000000000001</v>
      </c>
      <c r="S60" s="73">
        <v>21076</v>
      </c>
      <c r="T60" s="73"/>
      <c r="U60" s="74"/>
      <c r="V60" s="74"/>
      <c r="W60" s="57" t="s">
        <v>53</v>
      </c>
      <c r="X60" s="128" t="s">
        <v>57</v>
      </c>
      <c r="Y60" s="75">
        <v>0.55000000000000004</v>
      </c>
      <c r="Z60" s="75"/>
      <c r="AA60" s="75"/>
      <c r="AB60" s="76"/>
      <c r="AC60" s="78">
        <f t="shared" si="35"/>
        <v>3279.9525000000003</v>
      </c>
      <c r="AD60" s="81"/>
      <c r="AE60" s="77">
        <f t="shared" si="36"/>
        <v>11.591800000000001</v>
      </c>
      <c r="AF60" s="82"/>
    </row>
    <row r="61" spans="2:32" s="44" customFormat="1" hidden="1">
      <c r="B61" s="19" t="s">
        <v>10</v>
      </c>
      <c r="C61" s="40" t="s">
        <v>15</v>
      </c>
      <c r="D61" s="57" t="s">
        <v>66</v>
      </c>
      <c r="E61" s="90" t="s">
        <v>67</v>
      </c>
      <c r="F61" s="57" t="s">
        <v>51</v>
      </c>
      <c r="G61" s="57"/>
      <c r="H61" s="59" t="s">
        <v>52</v>
      </c>
      <c r="I61" s="57">
        <v>2025</v>
      </c>
      <c r="J61" s="57">
        <v>1</v>
      </c>
      <c r="K61" s="29">
        <v>45705</v>
      </c>
      <c r="L61" s="66"/>
      <c r="M61" s="67">
        <v>0.14000000000000001</v>
      </c>
      <c r="N61" s="67">
        <v>0.15562500000000001</v>
      </c>
      <c r="O61" s="67">
        <v>1.5625E-2</v>
      </c>
      <c r="P61" s="68"/>
      <c r="Q61" s="100">
        <v>1</v>
      </c>
      <c r="R61" s="104">
        <f t="shared" si="2"/>
        <v>0.14000000000000001</v>
      </c>
      <c r="S61" s="73">
        <v>34998</v>
      </c>
      <c r="T61" s="73"/>
      <c r="U61" s="74"/>
      <c r="V61" s="74"/>
      <c r="W61" s="57" t="s">
        <v>53</v>
      </c>
      <c r="X61" s="128" t="s">
        <v>62</v>
      </c>
      <c r="Y61" s="75">
        <v>0.55000000000000004</v>
      </c>
      <c r="Z61" s="75"/>
      <c r="AA61" s="75"/>
      <c r="AB61" s="76"/>
      <c r="AC61" s="78">
        <f t="shared" si="35"/>
        <v>5446.5637500000003</v>
      </c>
      <c r="AD61" s="81"/>
      <c r="AE61" s="77">
        <f t="shared" si="36"/>
        <v>19.248900000000003</v>
      </c>
      <c r="AF61" s="82"/>
    </row>
    <row r="62" spans="2:32" s="44" customFormat="1" hidden="1">
      <c r="B62" s="19" t="s">
        <v>10</v>
      </c>
      <c r="C62" s="40" t="s">
        <v>15</v>
      </c>
      <c r="D62" s="57" t="s">
        <v>66</v>
      </c>
      <c r="E62" s="90" t="s">
        <v>67</v>
      </c>
      <c r="F62" s="57" t="s">
        <v>51</v>
      </c>
      <c r="G62" s="57"/>
      <c r="H62" s="59" t="s">
        <v>52</v>
      </c>
      <c r="I62" s="57">
        <v>2025</v>
      </c>
      <c r="J62" s="57">
        <v>1</v>
      </c>
      <c r="K62" s="29">
        <v>45705</v>
      </c>
      <c r="L62" s="66"/>
      <c r="M62" s="67">
        <v>0.14000000000000001</v>
      </c>
      <c r="N62" s="67">
        <v>0.15562500000000001</v>
      </c>
      <c r="O62" s="67">
        <v>1.5625E-2</v>
      </c>
      <c r="P62" s="68"/>
      <c r="Q62" s="100">
        <v>1</v>
      </c>
      <c r="R62" s="104">
        <f t="shared" si="2"/>
        <v>0.14000000000000001</v>
      </c>
      <c r="S62" s="73">
        <v>36003</v>
      </c>
      <c r="T62" s="73"/>
      <c r="U62" s="74"/>
      <c r="V62" s="74"/>
      <c r="W62" s="57" t="s">
        <v>53</v>
      </c>
      <c r="X62" s="128" t="s">
        <v>60</v>
      </c>
      <c r="Y62" s="75">
        <v>0.55000000000000004</v>
      </c>
      <c r="Z62" s="75"/>
      <c r="AA62" s="75"/>
      <c r="AB62" s="76"/>
      <c r="AC62" s="78">
        <f t="shared" si="35"/>
        <v>5602.9668750000001</v>
      </c>
      <c r="AD62" s="81"/>
      <c r="AE62" s="77">
        <f t="shared" si="36"/>
        <v>19.801650000000002</v>
      </c>
      <c r="AF62" s="82"/>
    </row>
    <row r="63" spans="2:32" s="44" customFormat="1" hidden="1">
      <c r="B63" s="19" t="s">
        <v>10</v>
      </c>
      <c r="C63" s="40" t="s">
        <v>15</v>
      </c>
      <c r="D63" s="57" t="s">
        <v>66</v>
      </c>
      <c r="E63" s="90" t="s">
        <v>67</v>
      </c>
      <c r="F63" s="57" t="s">
        <v>51</v>
      </c>
      <c r="G63" s="57"/>
      <c r="H63" s="59" t="s">
        <v>52</v>
      </c>
      <c r="I63" s="57">
        <v>2025</v>
      </c>
      <c r="J63" s="57">
        <v>1</v>
      </c>
      <c r="K63" s="29">
        <v>45705</v>
      </c>
      <c r="L63" s="66"/>
      <c r="M63" s="67">
        <v>0.14000000000000001</v>
      </c>
      <c r="N63" s="67">
        <v>0.15562500000000001</v>
      </c>
      <c r="O63" s="67">
        <v>1.5625E-2</v>
      </c>
      <c r="P63" s="68"/>
      <c r="Q63" s="100">
        <v>1</v>
      </c>
      <c r="R63" s="104">
        <f t="shared" si="2"/>
        <v>0.14000000000000001</v>
      </c>
      <c r="S63" s="73">
        <v>44637</v>
      </c>
      <c r="T63" s="73"/>
      <c r="U63" s="74"/>
      <c r="V63" s="74"/>
      <c r="W63" s="57" t="s">
        <v>53</v>
      </c>
      <c r="X63" s="128" t="s">
        <v>61</v>
      </c>
      <c r="Y63" s="75">
        <v>0.55000000000000004</v>
      </c>
      <c r="Z63" s="75"/>
      <c r="AA63" s="75"/>
      <c r="AB63" s="76"/>
      <c r="AC63" s="78">
        <f t="shared" si="35"/>
        <v>6946.6331250000003</v>
      </c>
      <c r="AD63" s="81"/>
      <c r="AE63" s="77">
        <f t="shared" si="36"/>
        <v>24.550350000000002</v>
      </c>
      <c r="AF63" s="82"/>
    </row>
    <row r="64" spans="2:32" s="44" customFormat="1" hidden="1">
      <c r="B64" s="19" t="s">
        <v>10</v>
      </c>
      <c r="C64" s="40" t="s">
        <v>15</v>
      </c>
      <c r="D64" s="57" t="s">
        <v>66</v>
      </c>
      <c r="E64" s="90" t="s">
        <v>67</v>
      </c>
      <c r="F64" s="57" t="s">
        <v>51</v>
      </c>
      <c r="G64" s="57"/>
      <c r="H64" s="59" t="s">
        <v>52</v>
      </c>
      <c r="I64" s="57">
        <v>2025</v>
      </c>
      <c r="J64" s="57">
        <v>1</v>
      </c>
      <c r="K64" s="29">
        <v>45705</v>
      </c>
      <c r="L64" s="66"/>
      <c r="M64" s="67">
        <v>0.14000000000000001</v>
      </c>
      <c r="N64" s="67">
        <v>0.15562500000000001</v>
      </c>
      <c r="O64" s="67">
        <v>1.5625E-2</v>
      </c>
      <c r="P64" s="68"/>
      <c r="Q64" s="100">
        <v>1</v>
      </c>
      <c r="R64" s="104">
        <f t="shared" si="2"/>
        <v>0.14000000000000001</v>
      </c>
      <c r="S64" s="73">
        <v>70766</v>
      </c>
      <c r="T64" s="73"/>
      <c r="U64" s="74"/>
      <c r="V64" s="74"/>
      <c r="W64" s="57" t="s">
        <v>53</v>
      </c>
      <c r="X64" s="128" t="s">
        <v>58</v>
      </c>
      <c r="Y64" s="75">
        <v>0.55000000000000004</v>
      </c>
      <c r="Z64" s="75"/>
      <c r="AA64" s="75"/>
      <c r="AB64" s="76"/>
      <c r="AC64" s="78">
        <f t="shared" si="35"/>
        <v>11012.958750000002</v>
      </c>
      <c r="AD64" s="81"/>
      <c r="AE64" s="77">
        <f t="shared" si="36"/>
        <v>38.921300000000002</v>
      </c>
      <c r="AF64" s="82"/>
    </row>
    <row r="65" spans="2:32" s="44" customFormat="1" hidden="1">
      <c r="B65" s="19" t="s">
        <v>10</v>
      </c>
      <c r="C65" s="40" t="s">
        <v>15</v>
      </c>
      <c r="D65" s="57" t="s">
        <v>66</v>
      </c>
      <c r="E65" s="90" t="s">
        <v>67</v>
      </c>
      <c r="F65" s="57" t="s">
        <v>51</v>
      </c>
      <c r="G65" s="57"/>
      <c r="H65" s="59" t="s">
        <v>52</v>
      </c>
      <c r="I65" s="57">
        <v>2024</v>
      </c>
      <c r="J65" s="57">
        <v>12</v>
      </c>
      <c r="K65" s="29">
        <v>45665</v>
      </c>
      <c r="L65" s="66"/>
      <c r="M65" s="67">
        <v>0.14000000000000001</v>
      </c>
      <c r="N65" s="67">
        <v>0.15562500000000001</v>
      </c>
      <c r="O65" s="67">
        <v>1.5625E-2</v>
      </c>
      <c r="P65" s="68"/>
      <c r="Q65" s="100">
        <v>1</v>
      </c>
      <c r="R65" s="104">
        <f t="shared" ref="R65" si="37">Q65*M65</f>
        <v>0.14000000000000001</v>
      </c>
      <c r="S65" s="73">
        <v>331615</v>
      </c>
      <c r="T65" s="73">
        <f>S65+T66</f>
        <v>5006173</v>
      </c>
      <c r="U65" s="74">
        <v>250000</v>
      </c>
      <c r="V65" s="78">
        <f t="shared" si="30"/>
        <v>171778.546875</v>
      </c>
      <c r="W65" s="57" t="s">
        <v>53</v>
      </c>
      <c r="X65" s="128" t="s">
        <v>54</v>
      </c>
      <c r="Y65" s="75">
        <v>0.55000000000000004</v>
      </c>
      <c r="Z65" s="75"/>
      <c r="AA65" s="75"/>
      <c r="AB65" s="76"/>
      <c r="AC65" s="78">
        <f t="shared" si="31"/>
        <v>51607.584375000006</v>
      </c>
      <c r="AD65" s="81"/>
      <c r="AE65" s="77">
        <f t="shared" si="32"/>
        <v>182.38825000000003</v>
      </c>
      <c r="AF65" s="82"/>
    </row>
    <row r="66" spans="2:32" s="44" customFormat="1" hidden="1">
      <c r="B66" s="19" t="s">
        <v>10</v>
      </c>
      <c r="C66" s="40" t="s">
        <v>15</v>
      </c>
      <c r="D66" s="57" t="s">
        <v>66</v>
      </c>
      <c r="E66" s="90" t="s">
        <v>67</v>
      </c>
      <c r="F66" s="57" t="s">
        <v>51</v>
      </c>
      <c r="G66" s="57"/>
      <c r="H66" s="59" t="s">
        <v>52</v>
      </c>
      <c r="I66" s="57">
        <v>2024</v>
      </c>
      <c r="J66" s="57">
        <v>11</v>
      </c>
      <c r="K66" s="29">
        <v>45629</v>
      </c>
      <c r="L66" s="66"/>
      <c r="M66" s="67">
        <v>0.14000000000000001</v>
      </c>
      <c r="N66" s="67">
        <v>0.15562500000000001</v>
      </c>
      <c r="O66" s="67">
        <v>1.5625E-2</v>
      </c>
      <c r="P66" s="68"/>
      <c r="Q66" s="100">
        <v>1</v>
      </c>
      <c r="R66" s="104">
        <f t="shared" si="2"/>
        <v>0.14000000000000001</v>
      </c>
      <c r="S66" s="73">
        <v>291556</v>
      </c>
      <c r="T66" s="73">
        <f>S66+T67</f>
        <v>4674558</v>
      </c>
      <c r="U66" s="74">
        <v>250000</v>
      </c>
      <c r="V66" s="78">
        <f t="shared" si="30"/>
        <v>176960.03125</v>
      </c>
      <c r="W66" s="57" t="s">
        <v>53</v>
      </c>
      <c r="X66" s="128" t="s">
        <v>54</v>
      </c>
      <c r="Y66" s="75">
        <v>0.55000000000000004</v>
      </c>
      <c r="Z66" s="75"/>
      <c r="AA66" s="75"/>
      <c r="AB66" s="76"/>
      <c r="AC66" s="78">
        <f t="shared" ref="AC66" si="38">N66*S66</f>
        <v>45373.402500000004</v>
      </c>
      <c r="AD66" s="81"/>
      <c r="AE66" s="77">
        <f t="shared" ref="AE66" si="39">S66*Y66/1000</f>
        <v>160.35580000000002</v>
      </c>
      <c r="AF66" s="82"/>
    </row>
    <row r="67" spans="2:32" s="44" customFormat="1" hidden="1">
      <c r="B67" s="19" t="s">
        <v>10</v>
      </c>
      <c r="C67" s="40" t="s">
        <v>15</v>
      </c>
      <c r="D67" s="57" t="s">
        <v>66</v>
      </c>
      <c r="E67" s="90" t="s">
        <v>67</v>
      </c>
      <c r="F67" s="57" t="s">
        <v>51</v>
      </c>
      <c r="G67" s="57"/>
      <c r="H67" s="59" t="s">
        <v>52</v>
      </c>
      <c r="I67" s="57">
        <v>2024</v>
      </c>
      <c r="J67" s="57">
        <v>10</v>
      </c>
      <c r="K67" s="29">
        <v>45597</v>
      </c>
      <c r="L67" s="66"/>
      <c r="M67" s="67">
        <v>0.14000000000000001</v>
      </c>
      <c r="N67" s="67">
        <v>0.15562500000000001</v>
      </c>
      <c r="O67" s="67">
        <v>1.5625E-2</v>
      </c>
      <c r="P67" s="68"/>
      <c r="Q67" s="100">
        <v>1</v>
      </c>
      <c r="R67" s="104">
        <f t="shared" si="2"/>
        <v>0.14000000000000001</v>
      </c>
      <c r="S67" s="73">
        <v>89000</v>
      </c>
      <c r="T67" s="77">
        <f>S67+T68</f>
        <v>4383002</v>
      </c>
      <c r="U67" s="74">
        <v>250000</v>
      </c>
      <c r="V67" s="78">
        <f t="shared" si="30"/>
        <v>181515.59375</v>
      </c>
      <c r="W67" s="57" t="s">
        <v>53</v>
      </c>
      <c r="X67" s="128" t="s">
        <v>54</v>
      </c>
      <c r="Y67" s="75">
        <v>0.55000000000000004</v>
      </c>
      <c r="Z67" s="75"/>
      <c r="AA67" s="75"/>
      <c r="AB67" s="76"/>
      <c r="AC67" s="78">
        <f t="shared" si="31"/>
        <v>13850.625000000002</v>
      </c>
      <c r="AD67" s="81"/>
      <c r="AE67" s="77">
        <f t="shared" si="32"/>
        <v>48.95000000000001</v>
      </c>
      <c r="AF67" s="82"/>
    </row>
    <row r="68" spans="2:32" s="43" customFormat="1" hidden="1">
      <c r="B68" s="60" t="s">
        <v>10</v>
      </c>
      <c r="C68" s="40" t="str">
        <f>VLOOKUP(B68,[1]Sheet1!$A:$B,2,0)</f>
        <v>RCS DEVICE</v>
      </c>
      <c r="D68" s="40" t="s">
        <v>66</v>
      </c>
      <c r="E68" s="91" t="s">
        <v>67</v>
      </c>
      <c r="F68" s="40" t="s">
        <v>51</v>
      </c>
      <c r="G68" s="40"/>
      <c r="H68" s="61" t="s">
        <v>52</v>
      </c>
      <c r="I68" s="57">
        <v>2024</v>
      </c>
      <c r="J68" s="57">
        <v>9</v>
      </c>
      <c r="K68" s="29">
        <v>45597</v>
      </c>
      <c r="L68" s="69"/>
      <c r="M68" s="68">
        <v>0.14000000000000001</v>
      </c>
      <c r="N68" s="68">
        <v>0.15562500000000001</v>
      </c>
      <c r="O68" s="68">
        <v>1.5625E-2</v>
      </c>
      <c r="P68" s="68">
        <f t="shared" ref="P68:P77" si="40">L68*O68</f>
        <v>0</v>
      </c>
      <c r="Q68" s="100">
        <v>1</v>
      </c>
      <c r="R68" s="104">
        <f t="shared" si="2"/>
        <v>0.14000000000000001</v>
      </c>
      <c r="S68" s="73">
        <v>624300</v>
      </c>
      <c r="T68" s="77">
        <v>4294002</v>
      </c>
      <c r="U68" s="78">
        <f>250000</f>
        <v>250000</v>
      </c>
      <c r="V68" s="78">
        <f>U68-O68*T68</f>
        <v>182906.21875</v>
      </c>
      <c r="W68" s="57" t="s">
        <v>53</v>
      </c>
      <c r="X68" s="128" t="s">
        <v>54</v>
      </c>
      <c r="Y68" s="79">
        <v>0.55000000000000004</v>
      </c>
      <c r="Z68" s="79"/>
      <c r="AA68" s="79"/>
      <c r="AB68" s="80"/>
      <c r="AC68" s="78">
        <f>N68*S68</f>
        <v>97156.687500000015</v>
      </c>
      <c r="AD68" s="83">
        <v>0</v>
      </c>
      <c r="AE68" s="77">
        <f>S68*Y68/1000</f>
        <v>343.36500000000001</v>
      </c>
      <c r="AF68" s="84"/>
    </row>
    <row r="69" spans="2:32" s="43" customFormat="1" hidden="1">
      <c r="B69" s="60" t="s">
        <v>10</v>
      </c>
      <c r="C69" s="40" t="s">
        <v>15</v>
      </c>
      <c r="D69" s="40" t="s">
        <v>66</v>
      </c>
      <c r="E69" s="91" t="s">
        <v>67</v>
      </c>
      <c r="F69" s="40" t="s">
        <v>51</v>
      </c>
      <c r="G69" s="40"/>
      <c r="H69" s="61" t="s">
        <v>52</v>
      </c>
      <c r="I69" s="57">
        <v>2024</v>
      </c>
      <c r="J69" s="57">
        <v>8</v>
      </c>
      <c r="K69" s="29">
        <v>45597</v>
      </c>
      <c r="L69" s="69"/>
      <c r="M69" s="68">
        <v>0.14000000000000001</v>
      </c>
      <c r="N69" s="68">
        <v>0.15562500000000001</v>
      </c>
      <c r="O69" s="68">
        <v>1.5625E-2</v>
      </c>
      <c r="P69" s="68">
        <f t="shared" si="40"/>
        <v>0</v>
      </c>
      <c r="Q69" s="100">
        <v>1</v>
      </c>
      <c r="R69" s="104">
        <f t="shared" si="2"/>
        <v>0.14000000000000001</v>
      </c>
      <c r="S69" s="73">
        <v>735900</v>
      </c>
      <c r="T69" s="77">
        <f t="shared" ref="T69:T76" si="41">S69+T70</f>
        <v>3669702</v>
      </c>
      <c r="U69" s="78">
        <v>250000</v>
      </c>
      <c r="V69" s="78">
        <f t="shared" ref="V69:V82" si="42">U69-O69*T69</f>
        <v>192660.90625</v>
      </c>
      <c r="W69" s="57" t="s">
        <v>53</v>
      </c>
      <c r="X69" s="128" t="s">
        <v>54</v>
      </c>
      <c r="Y69" s="79">
        <v>0.55000000000000004</v>
      </c>
      <c r="Z69" s="79"/>
      <c r="AA69" s="79"/>
      <c r="AB69" s="80"/>
      <c r="AC69" s="78">
        <f t="shared" ref="AC69:AC82" si="43">N69*S69</f>
        <v>114524.43750000001</v>
      </c>
      <c r="AD69" s="83"/>
      <c r="AE69" s="77">
        <f t="shared" ref="AE69:AE82" si="44">S69*Y69/1000</f>
        <v>404.74500000000006</v>
      </c>
      <c r="AF69" s="84"/>
    </row>
    <row r="70" spans="2:32" s="43" customFormat="1" hidden="1">
      <c r="B70" s="60" t="s">
        <v>10</v>
      </c>
      <c r="C70" s="40" t="s">
        <v>15</v>
      </c>
      <c r="D70" s="40" t="s">
        <v>66</v>
      </c>
      <c r="E70" s="91" t="s">
        <v>67</v>
      </c>
      <c r="F70" s="40" t="s">
        <v>51</v>
      </c>
      <c r="G70" s="40"/>
      <c r="H70" s="61" t="s">
        <v>52</v>
      </c>
      <c r="I70" s="57">
        <v>2024</v>
      </c>
      <c r="J70" s="57">
        <v>7</v>
      </c>
      <c r="K70" s="29">
        <v>45597</v>
      </c>
      <c r="L70" s="69"/>
      <c r="M70" s="68">
        <v>0.14000000000000001</v>
      </c>
      <c r="N70" s="68">
        <v>0.15562500000000001</v>
      </c>
      <c r="O70" s="68">
        <v>1.5625E-2</v>
      </c>
      <c r="P70" s="68">
        <f t="shared" si="40"/>
        <v>0</v>
      </c>
      <c r="Q70" s="100">
        <v>1</v>
      </c>
      <c r="R70" s="104">
        <f t="shared" si="2"/>
        <v>0.14000000000000001</v>
      </c>
      <c r="S70" s="73">
        <v>299000</v>
      </c>
      <c r="T70" s="77">
        <f t="shared" si="41"/>
        <v>2933802</v>
      </c>
      <c r="U70" s="78">
        <v>250000</v>
      </c>
      <c r="V70" s="78">
        <f t="shared" si="42"/>
        <v>204159.34375</v>
      </c>
      <c r="W70" s="57" t="s">
        <v>53</v>
      </c>
      <c r="X70" s="128" t="s">
        <v>54</v>
      </c>
      <c r="Y70" s="79">
        <v>0.55000000000000004</v>
      </c>
      <c r="Z70" s="79"/>
      <c r="AA70" s="79"/>
      <c r="AB70" s="80"/>
      <c r="AC70" s="78">
        <f t="shared" si="43"/>
        <v>46531.875000000007</v>
      </c>
      <c r="AD70" s="83"/>
      <c r="AE70" s="77">
        <f t="shared" si="44"/>
        <v>164.45</v>
      </c>
      <c r="AF70" s="84"/>
    </row>
    <row r="71" spans="2:32" s="43" customFormat="1" hidden="1">
      <c r="B71" s="60" t="s">
        <v>10</v>
      </c>
      <c r="C71" s="40" t="s">
        <v>15</v>
      </c>
      <c r="D71" s="40" t="s">
        <v>66</v>
      </c>
      <c r="E71" s="91" t="s">
        <v>67</v>
      </c>
      <c r="F71" s="40" t="s">
        <v>51</v>
      </c>
      <c r="G71" s="40"/>
      <c r="H71" s="61" t="s">
        <v>52</v>
      </c>
      <c r="I71" s="57">
        <v>2024</v>
      </c>
      <c r="J71" s="57">
        <v>6</v>
      </c>
      <c r="K71" s="29">
        <v>45597</v>
      </c>
      <c r="L71" s="69"/>
      <c r="M71" s="68">
        <v>0.14000000000000001</v>
      </c>
      <c r="N71" s="68">
        <v>0.15562500000000001</v>
      </c>
      <c r="O71" s="68">
        <v>1.5625E-2</v>
      </c>
      <c r="P71" s="68">
        <f t="shared" si="40"/>
        <v>0</v>
      </c>
      <c r="Q71" s="100">
        <v>1</v>
      </c>
      <c r="R71" s="104">
        <f t="shared" si="2"/>
        <v>0.14000000000000001</v>
      </c>
      <c r="S71" s="73">
        <v>894500</v>
      </c>
      <c r="T71" s="77">
        <f t="shared" si="41"/>
        <v>2634802</v>
      </c>
      <c r="U71" s="78">
        <v>250000</v>
      </c>
      <c r="V71" s="78">
        <f t="shared" si="42"/>
        <v>208831.21875</v>
      </c>
      <c r="W71" s="57" t="s">
        <v>53</v>
      </c>
      <c r="X71" s="128" t="s">
        <v>54</v>
      </c>
      <c r="Y71" s="79">
        <v>0.55000000000000004</v>
      </c>
      <c r="Z71" s="79"/>
      <c r="AA71" s="79"/>
      <c r="AB71" s="80"/>
      <c r="AC71" s="78">
        <f t="shared" si="43"/>
        <v>139206.5625</v>
      </c>
      <c r="AD71" s="83"/>
      <c r="AE71" s="77">
        <f t="shared" si="44"/>
        <v>491.97500000000008</v>
      </c>
      <c r="AF71" s="84"/>
    </row>
    <row r="72" spans="2:32" s="43" customFormat="1" hidden="1">
      <c r="B72" s="60" t="s">
        <v>10</v>
      </c>
      <c r="C72" s="40" t="s">
        <v>15</v>
      </c>
      <c r="D72" s="40" t="s">
        <v>66</v>
      </c>
      <c r="E72" s="91" t="s">
        <v>67</v>
      </c>
      <c r="F72" s="40" t="s">
        <v>51</v>
      </c>
      <c r="G72" s="40"/>
      <c r="H72" s="61" t="s">
        <v>52</v>
      </c>
      <c r="I72" s="57">
        <v>2024</v>
      </c>
      <c r="J72" s="57">
        <v>5</v>
      </c>
      <c r="K72" s="29">
        <v>45597</v>
      </c>
      <c r="L72" s="69"/>
      <c r="M72" s="68">
        <v>0.14000000000000001</v>
      </c>
      <c r="N72" s="68">
        <v>0.15562500000000001</v>
      </c>
      <c r="O72" s="68">
        <v>1.5625E-2</v>
      </c>
      <c r="P72" s="68">
        <f t="shared" si="40"/>
        <v>0</v>
      </c>
      <c r="Q72" s="100">
        <v>1</v>
      </c>
      <c r="R72" s="104">
        <f t="shared" si="2"/>
        <v>0.14000000000000001</v>
      </c>
      <c r="S72" s="73">
        <v>858638</v>
      </c>
      <c r="T72" s="77">
        <f t="shared" si="41"/>
        <v>1740302</v>
      </c>
      <c r="U72" s="78">
        <v>250000</v>
      </c>
      <c r="V72" s="78">
        <f t="shared" si="42"/>
        <v>222807.78125</v>
      </c>
      <c r="W72" s="57" t="s">
        <v>53</v>
      </c>
      <c r="X72" s="128" t="s">
        <v>54</v>
      </c>
      <c r="Y72" s="79">
        <v>0.55000000000000004</v>
      </c>
      <c r="Z72" s="79"/>
      <c r="AA72" s="79"/>
      <c r="AB72" s="80"/>
      <c r="AC72" s="78">
        <f t="shared" si="43"/>
        <v>133625.53875000001</v>
      </c>
      <c r="AD72" s="83"/>
      <c r="AE72" s="77">
        <f t="shared" si="44"/>
        <v>472.2509</v>
      </c>
      <c r="AF72" s="84"/>
    </row>
    <row r="73" spans="2:32" s="43" customFormat="1" hidden="1">
      <c r="B73" s="60" t="s">
        <v>10</v>
      </c>
      <c r="C73" s="40" t="s">
        <v>15</v>
      </c>
      <c r="D73" s="40" t="s">
        <v>66</v>
      </c>
      <c r="E73" s="91" t="s">
        <v>67</v>
      </c>
      <c r="F73" s="40" t="s">
        <v>51</v>
      </c>
      <c r="G73" s="40"/>
      <c r="H73" s="61" t="s">
        <v>52</v>
      </c>
      <c r="I73" s="57">
        <v>2024</v>
      </c>
      <c r="J73" s="57">
        <v>4</v>
      </c>
      <c r="K73" s="29">
        <v>45597</v>
      </c>
      <c r="L73" s="69"/>
      <c r="M73" s="68">
        <v>0.14000000000000001</v>
      </c>
      <c r="N73" s="68">
        <v>0.15562500000000001</v>
      </c>
      <c r="O73" s="68">
        <v>1.5625E-2</v>
      </c>
      <c r="P73" s="68">
        <f t="shared" si="40"/>
        <v>0</v>
      </c>
      <c r="Q73" s="100">
        <v>1</v>
      </c>
      <c r="R73" s="104">
        <f t="shared" si="2"/>
        <v>0.14000000000000001</v>
      </c>
      <c r="S73" s="73">
        <v>863564</v>
      </c>
      <c r="T73" s="77">
        <f t="shared" si="41"/>
        <v>881664</v>
      </c>
      <c r="U73" s="78">
        <v>250000</v>
      </c>
      <c r="V73" s="78">
        <f t="shared" si="42"/>
        <v>236224</v>
      </c>
      <c r="W73" s="57" t="s">
        <v>53</v>
      </c>
      <c r="X73" s="128" t="s">
        <v>54</v>
      </c>
      <c r="Y73" s="79">
        <v>0.55000000000000004</v>
      </c>
      <c r="Z73" s="79"/>
      <c r="AA73" s="79"/>
      <c r="AB73" s="80"/>
      <c r="AC73" s="78">
        <f t="shared" si="43"/>
        <v>134392.14750000002</v>
      </c>
      <c r="AD73" s="83"/>
      <c r="AE73" s="77">
        <f t="shared" si="44"/>
        <v>474.96019999999999</v>
      </c>
      <c r="AF73" s="84"/>
    </row>
    <row r="74" spans="2:32" s="43" customFormat="1" hidden="1">
      <c r="B74" s="60" t="s">
        <v>10</v>
      </c>
      <c r="C74" s="40" t="s">
        <v>15</v>
      </c>
      <c r="D74" s="40" t="s">
        <v>66</v>
      </c>
      <c r="E74" s="91" t="s">
        <v>67</v>
      </c>
      <c r="F74" s="40" t="s">
        <v>51</v>
      </c>
      <c r="G74" s="40"/>
      <c r="H74" s="61" t="s">
        <v>52</v>
      </c>
      <c r="I74" s="57">
        <v>2024</v>
      </c>
      <c r="J74" s="57">
        <v>3</v>
      </c>
      <c r="K74" s="29">
        <v>45597</v>
      </c>
      <c r="L74" s="69"/>
      <c r="M74" s="68">
        <v>0.14000000000000001</v>
      </c>
      <c r="N74" s="68">
        <v>0.15562500000000001</v>
      </c>
      <c r="O74" s="68">
        <v>1.5625E-2</v>
      </c>
      <c r="P74" s="68">
        <f t="shared" si="40"/>
        <v>0</v>
      </c>
      <c r="Q74" s="100">
        <v>1</v>
      </c>
      <c r="R74" s="104">
        <f t="shared" si="2"/>
        <v>0.14000000000000001</v>
      </c>
      <c r="S74" s="73">
        <v>3600</v>
      </c>
      <c r="T74" s="77">
        <f t="shared" si="41"/>
        <v>18100</v>
      </c>
      <c r="U74" s="78">
        <v>250000</v>
      </c>
      <c r="V74" s="78">
        <f t="shared" si="42"/>
        <v>249717.1875</v>
      </c>
      <c r="W74" s="57" t="s">
        <v>53</v>
      </c>
      <c r="X74" s="128" t="s">
        <v>54</v>
      </c>
      <c r="Y74" s="79">
        <v>0.55000000000000004</v>
      </c>
      <c r="Z74" s="79"/>
      <c r="AA74" s="79"/>
      <c r="AB74" s="80"/>
      <c r="AC74" s="78">
        <f t="shared" si="43"/>
        <v>560.25</v>
      </c>
      <c r="AD74" s="83"/>
      <c r="AE74" s="77">
        <f t="shared" si="44"/>
        <v>1.9800000000000002</v>
      </c>
      <c r="AF74" s="84"/>
    </row>
    <row r="75" spans="2:32" s="43" customFormat="1" hidden="1">
      <c r="B75" s="60" t="s">
        <v>10</v>
      </c>
      <c r="C75" s="40" t="s">
        <v>15</v>
      </c>
      <c r="D75" s="40" t="s">
        <v>66</v>
      </c>
      <c r="E75" s="91" t="s">
        <v>67</v>
      </c>
      <c r="F75" s="40" t="s">
        <v>51</v>
      </c>
      <c r="G75" s="40"/>
      <c r="H75" s="61" t="s">
        <v>52</v>
      </c>
      <c r="I75" s="57">
        <v>2024</v>
      </c>
      <c r="J75" s="57">
        <v>1</v>
      </c>
      <c r="K75" s="29">
        <v>45597</v>
      </c>
      <c r="L75" s="69"/>
      <c r="M75" s="68">
        <v>0.14000000000000001</v>
      </c>
      <c r="N75" s="68">
        <v>0.15562500000000001</v>
      </c>
      <c r="O75" s="68">
        <v>1.5625E-2</v>
      </c>
      <c r="P75" s="68">
        <f t="shared" si="40"/>
        <v>0</v>
      </c>
      <c r="Q75" s="100">
        <v>1</v>
      </c>
      <c r="R75" s="104">
        <f t="shared" si="2"/>
        <v>0.14000000000000001</v>
      </c>
      <c r="S75" s="73">
        <v>400</v>
      </c>
      <c r="T75" s="77">
        <f t="shared" si="41"/>
        <v>14500</v>
      </c>
      <c r="U75" s="78">
        <v>250000</v>
      </c>
      <c r="V75" s="78">
        <f t="shared" si="42"/>
        <v>249773.4375</v>
      </c>
      <c r="W75" s="57" t="s">
        <v>53</v>
      </c>
      <c r="X75" s="128" t="s">
        <v>54</v>
      </c>
      <c r="Y75" s="79">
        <v>0.55000000000000004</v>
      </c>
      <c r="Z75" s="79"/>
      <c r="AA75" s="79"/>
      <c r="AB75" s="80"/>
      <c r="AC75" s="78">
        <f t="shared" si="43"/>
        <v>62.250000000000007</v>
      </c>
      <c r="AD75" s="83"/>
      <c r="AE75" s="77">
        <f t="shared" si="44"/>
        <v>0.22000000000000003</v>
      </c>
      <c r="AF75" s="84"/>
    </row>
    <row r="76" spans="2:32" s="43" customFormat="1" hidden="1">
      <c r="B76" s="60" t="s">
        <v>10</v>
      </c>
      <c r="C76" s="40" t="s">
        <v>15</v>
      </c>
      <c r="D76" s="40" t="s">
        <v>66</v>
      </c>
      <c r="E76" s="91" t="s">
        <v>67</v>
      </c>
      <c r="F76" s="40" t="s">
        <v>51</v>
      </c>
      <c r="G76" s="40"/>
      <c r="H76" s="61" t="s">
        <v>52</v>
      </c>
      <c r="I76" s="57">
        <v>2023</v>
      </c>
      <c r="J76" s="57">
        <v>12</v>
      </c>
      <c r="K76" s="29">
        <v>45597</v>
      </c>
      <c r="L76" s="69"/>
      <c r="M76" s="68">
        <v>0.14000000000000001</v>
      </c>
      <c r="N76" s="68">
        <v>0.15562500000000001</v>
      </c>
      <c r="O76" s="68">
        <v>1.5625E-2</v>
      </c>
      <c r="P76" s="68">
        <f t="shared" si="40"/>
        <v>0</v>
      </c>
      <c r="Q76" s="100">
        <v>1</v>
      </c>
      <c r="R76" s="104">
        <f t="shared" si="2"/>
        <v>0.14000000000000001</v>
      </c>
      <c r="S76" s="73">
        <v>10100</v>
      </c>
      <c r="T76" s="77">
        <f t="shared" si="41"/>
        <v>14100</v>
      </c>
      <c r="U76" s="78">
        <v>250000</v>
      </c>
      <c r="V76" s="78">
        <f t="shared" si="42"/>
        <v>249779.6875</v>
      </c>
      <c r="W76" s="57" t="s">
        <v>53</v>
      </c>
      <c r="X76" s="128" t="s">
        <v>54</v>
      </c>
      <c r="Y76" s="79">
        <v>0.55000000000000004</v>
      </c>
      <c r="Z76" s="79"/>
      <c r="AA76" s="79"/>
      <c r="AB76" s="80"/>
      <c r="AC76" s="78">
        <f t="shared" si="43"/>
        <v>1571.8125000000002</v>
      </c>
      <c r="AD76" s="83"/>
      <c r="AE76" s="77">
        <f t="shared" si="44"/>
        <v>5.5549999999999997</v>
      </c>
      <c r="AF76" s="84"/>
    </row>
    <row r="77" spans="2:32" s="43" customFormat="1" hidden="1">
      <c r="B77" s="60" t="s">
        <v>10</v>
      </c>
      <c r="C77" s="40" t="s">
        <v>15</v>
      </c>
      <c r="D77" s="40" t="s">
        <v>66</v>
      </c>
      <c r="E77" s="91" t="s">
        <v>67</v>
      </c>
      <c r="F77" s="40" t="s">
        <v>51</v>
      </c>
      <c r="G77" s="40"/>
      <c r="H77" s="61" t="s">
        <v>52</v>
      </c>
      <c r="I77" s="57">
        <v>2023</v>
      </c>
      <c r="J77" s="57">
        <v>11</v>
      </c>
      <c r="K77" s="29">
        <v>45597</v>
      </c>
      <c r="L77" s="69"/>
      <c r="M77" s="68">
        <v>0.14000000000000001</v>
      </c>
      <c r="N77" s="68">
        <v>0.15562500000000001</v>
      </c>
      <c r="O77" s="68">
        <v>1.5625E-2</v>
      </c>
      <c r="P77" s="68">
        <f t="shared" si="40"/>
        <v>0</v>
      </c>
      <c r="Q77" s="100">
        <v>1</v>
      </c>
      <c r="R77" s="104">
        <f t="shared" si="2"/>
        <v>0.14000000000000001</v>
      </c>
      <c r="S77" s="73">
        <v>4000</v>
      </c>
      <c r="T77" s="77">
        <f>S77</f>
        <v>4000</v>
      </c>
      <c r="U77" s="78">
        <v>250000</v>
      </c>
      <c r="V77" s="78">
        <f t="shared" si="42"/>
        <v>249937.5</v>
      </c>
      <c r="W77" s="57" t="s">
        <v>53</v>
      </c>
      <c r="X77" s="128" t="s">
        <v>54</v>
      </c>
      <c r="Y77" s="79">
        <v>0.55000000000000004</v>
      </c>
      <c r="Z77" s="79"/>
      <c r="AA77" s="79"/>
      <c r="AB77" s="80"/>
      <c r="AC77" s="78">
        <f t="shared" si="43"/>
        <v>622.5</v>
      </c>
      <c r="AD77" s="83"/>
      <c r="AE77" s="77">
        <f t="shared" si="44"/>
        <v>2.2000000000000002</v>
      </c>
      <c r="AF77" s="84"/>
    </row>
    <row r="78" spans="2:32" s="43" customFormat="1">
      <c r="B78" s="60" t="s">
        <v>10</v>
      </c>
      <c r="C78" s="40" t="s">
        <v>15</v>
      </c>
      <c r="D78" s="40" t="s">
        <v>68</v>
      </c>
      <c r="E78" s="91" t="s">
        <v>69</v>
      </c>
      <c r="F78" s="40" t="s">
        <v>51</v>
      </c>
      <c r="G78" s="40"/>
      <c r="H78" s="61" t="s">
        <v>52</v>
      </c>
      <c r="I78" s="57">
        <v>2025</v>
      </c>
      <c r="J78" s="57">
        <v>2</v>
      </c>
      <c r="K78" s="29">
        <v>45722</v>
      </c>
      <c r="L78" s="69"/>
      <c r="M78" s="132">
        <v>0.1394</v>
      </c>
      <c r="N78" s="67">
        <f>M78+O78</f>
        <v>0.16639999999999999</v>
      </c>
      <c r="O78" s="68">
        <v>2.7E-2</v>
      </c>
      <c r="P78" s="68"/>
      <c r="Q78" s="100">
        <v>1</v>
      </c>
      <c r="R78" s="104">
        <f t="shared" ref="R78" si="45">Q78*M78</f>
        <v>0.1394</v>
      </c>
      <c r="S78" s="73">
        <v>81300</v>
      </c>
      <c r="T78" s="144">
        <f>S78+T79</f>
        <v>5320205</v>
      </c>
      <c r="U78" s="136">
        <v>432000</v>
      </c>
      <c r="V78" s="136">
        <f t="shared" ref="V78" si="46">U78-O78*T78</f>
        <v>288354.46499999997</v>
      </c>
      <c r="W78" s="40" t="s">
        <v>70</v>
      </c>
      <c r="X78" s="129" t="s">
        <v>71</v>
      </c>
      <c r="Y78" s="79">
        <v>1.1000000000000001</v>
      </c>
      <c r="Z78" s="79"/>
      <c r="AA78" s="79"/>
      <c r="AB78" s="80"/>
      <c r="AC78" s="78">
        <f t="shared" si="43"/>
        <v>13528.32</v>
      </c>
      <c r="AD78" s="83"/>
      <c r="AE78" s="77">
        <f t="shared" si="44"/>
        <v>89.43</v>
      </c>
      <c r="AF78" s="84"/>
    </row>
    <row r="79" spans="2:32" s="43" customFormat="1" hidden="1">
      <c r="B79" s="60" t="s">
        <v>10</v>
      </c>
      <c r="C79" s="40" t="s">
        <v>15</v>
      </c>
      <c r="D79" s="40" t="s">
        <v>68</v>
      </c>
      <c r="E79" s="91" t="s">
        <v>69</v>
      </c>
      <c r="F79" s="40" t="s">
        <v>51</v>
      </c>
      <c r="G79" s="40"/>
      <c r="H79" s="61" t="s">
        <v>52</v>
      </c>
      <c r="I79" s="57">
        <v>2025</v>
      </c>
      <c r="J79" s="57">
        <v>1</v>
      </c>
      <c r="K79" s="29">
        <v>45701</v>
      </c>
      <c r="L79" s="69"/>
      <c r="M79" s="68">
        <v>0.154</v>
      </c>
      <c r="N79" s="68">
        <v>0.18099999999999999</v>
      </c>
      <c r="O79" s="68">
        <v>2.7E-2</v>
      </c>
      <c r="P79" s="68"/>
      <c r="Q79" s="100">
        <v>1</v>
      </c>
      <c r="R79" s="104">
        <f t="shared" si="2"/>
        <v>0.154</v>
      </c>
      <c r="S79" s="73">
        <v>252431</v>
      </c>
      <c r="T79" s="77">
        <f>S79+T80</f>
        <v>5238905</v>
      </c>
      <c r="U79" s="78">
        <v>432000</v>
      </c>
      <c r="V79" s="78">
        <f t="shared" si="42"/>
        <v>290549.565</v>
      </c>
      <c r="W79" s="40" t="s">
        <v>70</v>
      </c>
      <c r="X79" s="129" t="s">
        <v>71</v>
      </c>
      <c r="Y79" s="79">
        <v>1.1000000000000001</v>
      </c>
      <c r="Z79" s="79"/>
      <c r="AA79" s="79"/>
      <c r="AB79" s="80"/>
      <c r="AC79" s="78">
        <f t="shared" ref="AC79" si="47">N79*S79</f>
        <v>45690.010999999999</v>
      </c>
      <c r="AD79" s="83"/>
      <c r="AE79" s="77">
        <f t="shared" ref="AE79" si="48">S79*Y79/1000</f>
        <v>277.67410000000001</v>
      </c>
      <c r="AF79" s="84"/>
    </row>
    <row r="80" spans="2:32" s="43" customFormat="1" hidden="1">
      <c r="B80" s="60" t="s">
        <v>10</v>
      </c>
      <c r="C80" s="40" t="s">
        <v>15</v>
      </c>
      <c r="D80" s="40" t="s">
        <v>68</v>
      </c>
      <c r="E80" s="91" t="s">
        <v>69</v>
      </c>
      <c r="F80" s="40" t="s">
        <v>51</v>
      </c>
      <c r="G80" s="40"/>
      <c r="H80" s="61" t="s">
        <v>52</v>
      </c>
      <c r="I80" s="57">
        <v>2024</v>
      </c>
      <c r="J80" s="57">
        <v>12</v>
      </c>
      <c r="K80" s="29">
        <v>45665</v>
      </c>
      <c r="L80" s="69"/>
      <c r="M80" s="68">
        <v>0.154</v>
      </c>
      <c r="N80" s="68">
        <v>0.18099999999999999</v>
      </c>
      <c r="O80" s="68">
        <v>2.7E-2</v>
      </c>
      <c r="P80" s="68"/>
      <c r="Q80" s="100">
        <v>1</v>
      </c>
      <c r="R80" s="104">
        <f t="shared" ref="R80" si="49">Q80*M80</f>
        <v>0.154</v>
      </c>
      <c r="S80" s="73">
        <v>411834</v>
      </c>
      <c r="T80" s="77">
        <f>S80+T81</f>
        <v>4986474</v>
      </c>
      <c r="U80" s="78">
        <v>432000</v>
      </c>
      <c r="V80" s="78">
        <f t="shared" si="42"/>
        <v>297365.20199999999</v>
      </c>
      <c r="W80" s="40" t="s">
        <v>70</v>
      </c>
      <c r="X80" s="129" t="s">
        <v>71</v>
      </c>
      <c r="Y80" s="79">
        <v>1.1000000000000001</v>
      </c>
      <c r="Z80" s="79"/>
      <c r="AA80" s="79"/>
      <c r="AB80" s="80"/>
      <c r="AC80" s="78">
        <f t="shared" si="43"/>
        <v>74541.953999999998</v>
      </c>
      <c r="AD80" s="83"/>
      <c r="AE80" s="77">
        <f t="shared" si="44"/>
        <v>453.01740000000001</v>
      </c>
      <c r="AF80" s="84"/>
    </row>
    <row r="81" spans="2:32" s="43" customFormat="1" hidden="1">
      <c r="B81" s="60" t="s">
        <v>10</v>
      </c>
      <c r="C81" s="40" t="s">
        <v>15</v>
      </c>
      <c r="D81" s="40" t="s">
        <v>68</v>
      </c>
      <c r="E81" s="91" t="s">
        <v>69</v>
      </c>
      <c r="F81" s="40" t="s">
        <v>51</v>
      </c>
      <c r="G81" s="40"/>
      <c r="H81" s="61" t="s">
        <v>52</v>
      </c>
      <c r="I81" s="57">
        <v>2024</v>
      </c>
      <c r="J81" s="57">
        <v>11</v>
      </c>
      <c r="K81" s="29">
        <v>45629</v>
      </c>
      <c r="L81" s="69"/>
      <c r="M81" s="68">
        <v>0.154</v>
      </c>
      <c r="N81" s="68">
        <v>0.18099999999999999</v>
      </c>
      <c r="O81" s="68">
        <v>2.7E-2</v>
      </c>
      <c r="P81" s="68"/>
      <c r="Q81" s="100">
        <v>1</v>
      </c>
      <c r="R81" s="104">
        <f t="shared" si="2"/>
        <v>0.154</v>
      </c>
      <c r="S81" s="73">
        <v>222430</v>
      </c>
      <c r="T81" s="77">
        <f>S81+T82</f>
        <v>4574640</v>
      </c>
      <c r="U81" s="78">
        <v>432000</v>
      </c>
      <c r="V81" s="78">
        <f t="shared" ref="V81" si="50">U81-O81*T81</f>
        <v>308484.71999999997</v>
      </c>
      <c r="W81" s="40" t="s">
        <v>70</v>
      </c>
      <c r="X81" s="129" t="s">
        <v>71</v>
      </c>
      <c r="Y81" s="79">
        <v>1.1000000000000001</v>
      </c>
      <c r="Z81" s="79"/>
      <c r="AA81" s="79"/>
      <c r="AB81" s="80"/>
      <c r="AC81" s="78">
        <f t="shared" ref="AC81" si="51">N81*S81</f>
        <v>40259.83</v>
      </c>
      <c r="AD81" s="83"/>
      <c r="AE81" s="77">
        <f t="shared" ref="AE81" si="52">S81*Y81/1000</f>
        <v>244.67300000000003</v>
      </c>
      <c r="AF81" s="84"/>
    </row>
    <row r="82" spans="2:32" s="43" customFormat="1" hidden="1">
      <c r="B82" s="60" t="s">
        <v>10</v>
      </c>
      <c r="C82" s="40" t="s">
        <v>15</v>
      </c>
      <c r="D82" s="40" t="s">
        <v>68</v>
      </c>
      <c r="E82" s="91" t="s">
        <v>69</v>
      </c>
      <c r="F82" s="40" t="s">
        <v>51</v>
      </c>
      <c r="G82" s="40"/>
      <c r="H82" s="61" t="s">
        <v>52</v>
      </c>
      <c r="I82" s="57">
        <v>2024</v>
      </c>
      <c r="J82" s="57">
        <v>10</v>
      </c>
      <c r="K82" s="29">
        <v>45597</v>
      </c>
      <c r="L82" s="69"/>
      <c r="M82" s="68">
        <v>0.154</v>
      </c>
      <c r="N82" s="68">
        <v>0.18099999999999999</v>
      </c>
      <c r="O82" s="68">
        <v>2.7E-2</v>
      </c>
      <c r="P82" s="68"/>
      <c r="Q82" s="100">
        <v>1</v>
      </c>
      <c r="R82" s="104">
        <f t="shared" si="2"/>
        <v>0.154</v>
      </c>
      <c r="S82" s="73">
        <v>60000</v>
      </c>
      <c r="T82" s="77">
        <f>T83+S82</f>
        <v>4352210</v>
      </c>
      <c r="U82" s="78">
        <v>432000</v>
      </c>
      <c r="V82" s="78">
        <f t="shared" si="42"/>
        <v>314490.33</v>
      </c>
      <c r="W82" s="40" t="s">
        <v>70</v>
      </c>
      <c r="X82" s="129" t="s">
        <v>71</v>
      </c>
      <c r="Y82" s="79">
        <v>1.1000000000000001</v>
      </c>
      <c r="Z82" s="79"/>
      <c r="AA82" s="79"/>
      <c r="AB82" s="80"/>
      <c r="AC82" s="78">
        <f t="shared" si="43"/>
        <v>10860</v>
      </c>
      <c r="AD82" s="83"/>
      <c r="AE82" s="77">
        <f t="shared" si="44"/>
        <v>66</v>
      </c>
      <c r="AF82" s="84"/>
    </row>
    <row r="83" spans="2:32" s="43" customFormat="1" hidden="1">
      <c r="B83" s="60" t="s">
        <v>10</v>
      </c>
      <c r="C83" s="40" t="str">
        <f>VLOOKUP(B83,[1]Sheet1!$A:$B,2,0)</f>
        <v>RCS DEVICE</v>
      </c>
      <c r="D83" s="40" t="s">
        <v>68</v>
      </c>
      <c r="E83" s="91" t="s">
        <v>69</v>
      </c>
      <c r="F83" s="40" t="s">
        <v>51</v>
      </c>
      <c r="G83" s="40"/>
      <c r="H83" s="61" t="s">
        <v>52</v>
      </c>
      <c r="I83" s="57">
        <v>2024</v>
      </c>
      <c r="J83" s="57">
        <v>9</v>
      </c>
      <c r="K83" s="29">
        <v>45597</v>
      </c>
      <c r="L83" s="69"/>
      <c r="M83" s="68">
        <v>0.154</v>
      </c>
      <c r="N83" s="68">
        <v>0.18099999999999999</v>
      </c>
      <c r="O83" s="68">
        <v>2.7E-2</v>
      </c>
      <c r="P83" s="68">
        <f t="shared" ref="P83:P92" si="53">L83*O83</f>
        <v>0</v>
      </c>
      <c r="Q83" s="100">
        <v>1</v>
      </c>
      <c r="R83" s="104">
        <f t="shared" si="2"/>
        <v>0.154</v>
      </c>
      <c r="S83" s="73">
        <v>833000</v>
      </c>
      <c r="T83" s="77">
        <v>4292210</v>
      </c>
      <c r="U83" s="78">
        <v>432000</v>
      </c>
      <c r="V83" s="78">
        <f>U83-O83*T83</f>
        <v>316110.33</v>
      </c>
      <c r="W83" s="40" t="s">
        <v>70</v>
      </c>
      <c r="X83" s="129" t="s">
        <v>71</v>
      </c>
      <c r="Y83" s="79">
        <v>1.1000000000000001</v>
      </c>
      <c r="Z83" s="79"/>
      <c r="AA83" s="79"/>
      <c r="AB83" s="80"/>
      <c r="AC83" s="78">
        <f>N83*S83</f>
        <v>150773</v>
      </c>
      <c r="AD83" s="83">
        <v>0</v>
      </c>
      <c r="AE83" s="77">
        <f>S83*Y83/1000</f>
        <v>916.30000000000007</v>
      </c>
      <c r="AF83" s="84" t="s">
        <v>72</v>
      </c>
    </row>
    <row r="84" spans="2:32" s="43" customFormat="1" hidden="1">
      <c r="B84" s="60" t="s">
        <v>10</v>
      </c>
      <c r="C84" s="40" t="s">
        <v>15</v>
      </c>
      <c r="D84" s="40" t="s">
        <v>68</v>
      </c>
      <c r="E84" s="91" t="s">
        <v>69</v>
      </c>
      <c r="F84" s="40" t="s">
        <v>51</v>
      </c>
      <c r="G84" s="40"/>
      <c r="H84" s="61" t="s">
        <v>52</v>
      </c>
      <c r="I84" s="57">
        <v>2024</v>
      </c>
      <c r="J84" s="57">
        <v>8</v>
      </c>
      <c r="K84" s="29">
        <v>45597</v>
      </c>
      <c r="L84" s="69"/>
      <c r="M84" s="68">
        <v>0.154</v>
      </c>
      <c r="N84" s="68">
        <v>0.18099999999999999</v>
      </c>
      <c r="O84" s="68">
        <v>2.7E-2</v>
      </c>
      <c r="P84" s="68">
        <f t="shared" si="53"/>
        <v>0</v>
      </c>
      <c r="Q84" s="100">
        <v>1</v>
      </c>
      <c r="R84" s="104">
        <f t="shared" si="2"/>
        <v>0.154</v>
      </c>
      <c r="S84" s="73">
        <v>640100</v>
      </c>
      <c r="T84" s="77">
        <f t="shared" ref="T84:T91" si="54">S84+T85</f>
        <v>3459210</v>
      </c>
      <c r="U84" s="78">
        <v>432000</v>
      </c>
      <c r="V84" s="78">
        <f t="shared" ref="V84:V97" si="55">U84-O84*T84</f>
        <v>338601.33</v>
      </c>
      <c r="W84" s="40" t="s">
        <v>70</v>
      </c>
      <c r="X84" s="129" t="s">
        <v>71</v>
      </c>
      <c r="Y84" s="79">
        <v>1.1000000000000001</v>
      </c>
      <c r="Z84" s="79"/>
      <c r="AA84" s="79"/>
      <c r="AB84" s="80"/>
      <c r="AC84" s="78">
        <f t="shared" ref="AC84:AC97" si="56">N84*S84</f>
        <v>115858.09999999999</v>
      </c>
      <c r="AD84" s="83"/>
      <c r="AE84" s="77">
        <f t="shared" ref="AE84:AE97" si="57">S84*Y84/1000</f>
        <v>704.11</v>
      </c>
      <c r="AF84" s="84"/>
    </row>
    <row r="85" spans="2:32" s="43" customFormat="1" hidden="1">
      <c r="B85" s="60" t="s">
        <v>10</v>
      </c>
      <c r="C85" s="40" t="s">
        <v>15</v>
      </c>
      <c r="D85" s="40" t="s">
        <v>68</v>
      </c>
      <c r="E85" s="91" t="s">
        <v>69</v>
      </c>
      <c r="F85" s="40" t="s">
        <v>51</v>
      </c>
      <c r="G85" s="40"/>
      <c r="H85" s="61" t="s">
        <v>52</v>
      </c>
      <c r="I85" s="57">
        <v>2024</v>
      </c>
      <c r="J85" s="57">
        <v>7</v>
      </c>
      <c r="K85" s="29">
        <v>45597</v>
      </c>
      <c r="L85" s="69"/>
      <c r="M85" s="68">
        <v>0.154</v>
      </c>
      <c r="N85" s="68">
        <v>0.18099999999999999</v>
      </c>
      <c r="O85" s="68">
        <v>2.7E-2</v>
      </c>
      <c r="P85" s="68">
        <f t="shared" si="53"/>
        <v>0</v>
      </c>
      <c r="Q85" s="100">
        <v>1</v>
      </c>
      <c r="R85" s="104">
        <f t="shared" si="2"/>
        <v>0.154</v>
      </c>
      <c r="S85" s="73">
        <v>199200</v>
      </c>
      <c r="T85" s="77">
        <f t="shared" si="54"/>
        <v>2819110</v>
      </c>
      <c r="U85" s="78">
        <v>432000</v>
      </c>
      <c r="V85" s="78">
        <f t="shared" si="55"/>
        <v>355884.03</v>
      </c>
      <c r="W85" s="40" t="s">
        <v>70</v>
      </c>
      <c r="X85" s="129" t="s">
        <v>71</v>
      </c>
      <c r="Y85" s="79">
        <v>1.1000000000000001</v>
      </c>
      <c r="Z85" s="79"/>
      <c r="AA85" s="79"/>
      <c r="AB85" s="80"/>
      <c r="AC85" s="78">
        <f t="shared" si="56"/>
        <v>36055.199999999997</v>
      </c>
      <c r="AD85" s="83"/>
      <c r="AE85" s="77">
        <f t="shared" si="57"/>
        <v>219.12000000000003</v>
      </c>
      <c r="AF85" s="84"/>
    </row>
    <row r="86" spans="2:32" s="43" customFormat="1" hidden="1">
      <c r="B86" s="60" t="s">
        <v>10</v>
      </c>
      <c r="C86" s="40" t="s">
        <v>15</v>
      </c>
      <c r="D86" s="40" t="s">
        <v>68</v>
      </c>
      <c r="E86" s="91" t="s">
        <v>69</v>
      </c>
      <c r="F86" s="40" t="s">
        <v>51</v>
      </c>
      <c r="G86" s="40"/>
      <c r="H86" s="61" t="s">
        <v>52</v>
      </c>
      <c r="I86" s="57">
        <v>2024</v>
      </c>
      <c r="J86" s="57">
        <v>6</v>
      </c>
      <c r="K86" s="29">
        <v>45597</v>
      </c>
      <c r="L86" s="69"/>
      <c r="M86" s="68">
        <v>0.154</v>
      </c>
      <c r="N86" s="68">
        <v>0.18099999999999999</v>
      </c>
      <c r="O86" s="68">
        <v>2.7E-2</v>
      </c>
      <c r="P86" s="68">
        <f t="shared" si="53"/>
        <v>0</v>
      </c>
      <c r="Q86" s="100">
        <v>1</v>
      </c>
      <c r="R86" s="104">
        <f t="shared" si="2"/>
        <v>0.154</v>
      </c>
      <c r="S86" s="73">
        <v>1045400</v>
      </c>
      <c r="T86" s="77">
        <f t="shared" si="54"/>
        <v>2619910</v>
      </c>
      <c r="U86" s="78">
        <v>432000</v>
      </c>
      <c r="V86" s="78">
        <f t="shared" si="55"/>
        <v>361262.43</v>
      </c>
      <c r="W86" s="40" t="s">
        <v>70</v>
      </c>
      <c r="X86" s="129" t="s">
        <v>71</v>
      </c>
      <c r="Y86" s="79">
        <v>1.1000000000000001</v>
      </c>
      <c r="Z86" s="79"/>
      <c r="AA86" s="79"/>
      <c r="AB86" s="80"/>
      <c r="AC86" s="78">
        <f t="shared" si="56"/>
        <v>189217.4</v>
      </c>
      <c r="AD86" s="83"/>
      <c r="AE86" s="77">
        <f t="shared" si="57"/>
        <v>1149.94</v>
      </c>
      <c r="AF86" s="84"/>
    </row>
    <row r="87" spans="2:32" s="43" customFormat="1" hidden="1">
      <c r="B87" s="60" t="s">
        <v>10</v>
      </c>
      <c r="C87" s="40" t="s">
        <v>15</v>
      </c>
      <c r="D87" s="40" t="s">
        <v>68</v>
      </c>
      <c r="E87" s="91" t="s">
        <v>69</v>
      </c>
      <c r="F87" s="40" t="s">
        <v>51</v>
      </c>
      <c r="G87" s="40"/>
      <c r="H87" s="61" t="s">
        <v>52</v>
      </c>
      <c r="I87" s="57">
        <v>2024</v>
      </c>
      <c r="J87" s="57">
        <v>5</v>
      </c>
      <c r="K87" s="29">
        <v>45597</v>
      </c>
      <c r="L87" s="69"/>
      <c r="M87" s="68">
        <v>0.154</v>
      </c>
      <c r="N87" s="68">
        <v>0.18099999999999999</v>
      </c>
      <c r="O87" s="68">
        <v>2.7E-2</v>
      </c>
      <c r="P87" s="68">
        <f t="shared" si="53"/>
        <v>0</v>
      </c>
      <c r="Q87" s="100">
        <v>1</v>
      </c>
      <c r="R87" s="104">
        <f t="shared" si="2"/>
        <v>0.154</v>
      </c>
      <c r="S87" s="73">
        <v>890400</v>
      </c>
      <c r="T87" s="77">
        <f t="shared" si="54"/>
        <v>1574510</v>
      </c>
      <c r="U87" s="78">
        <v>432000</v>
      </c>
      <c r="V87" s="78">
        <f t="shared" si="55"/>
        <v>389488.23</v>
      </c>
      <c r="W87" s="40" t="s">
        <v>70</v>
      </c>
      <c r="X87" s="129" t="s">
        <v>71</v>
      </c>
      <c r="Y87" s="79">
        <v>1.1000000000000001</v>
      </c>
      <c r="Z87" s="79"/>
      <c r="AA87" s="79"/>
      <c r="AB87" s="80"/>
      <c r="AC87" s="78">
        <f t="shared" si="56"/>
        <v>161162.4</v>
      </c>
      <c r="AD87" s="83"/>
      <c r="AE87" s="77">
        <f t="shared" si="57"/>
        <v>979.44000000000017</v>
      </c>
      <c r="AF87" s="84"/>
    </row>
    <row r="88" spans="2:32" s="43" customFormat="1" hidden="1">
      <c r="B88" s="60" t="s">
        <v>10</v>
      </c>
      <c r="C88" s="40" t="s">
        <v>15</v>
      </c>
      <c r="D88" s="40" t="s">
        <v>68</v>
      </c>
      <c r="E88" s="91" t="s">
        <v>69</v>
      </c>
      <c r="F88" s="40" t="s">
        <v>51</v>
      </c>
      <c r="G88" s="40"/>
      <c r="H88" s="61" t="s">
        <v>52</v>
      </c>
      <c r="I88" s="57">
        <v>2024</v>
      </c>
      <c r="J88" s="57">
        <v>4</v>
      </c>
      <c r="K88" s="29">
        <v>45597</v>
      </c>
      <c r="L88" s="69"/>
      <c r="M88" s="68">
        <v>0.154</v>
      </c>
      <c r="N88" s="68">
        <v>0.18099999999999999</v>
      </c>
      <c r="O88" s="68">
        <v>2.7E-2</v>
      </c>
      <c r="P88" s="68">
        <f t="shared" si="53"/>
        <v>0</v>
      </c>
      <c r="Q88" s="100">
        <v>1</v>
      </c>
      <c r="R88" s="104">
        <f t="shared" si="2"/>
        <v>0.154</v>
      </c>
      <c r="S88" s="73">
        <v>664000</v>
      </c>
      <c r="T88" s="77">
        <f t="shared" si="54"/>
        <v>684110</v>
      </c>
      <c r="U88" s="78">
        <v>432000</v>
      </c>
      <c r="V88" s="78">
        <f t="shared" si="55"/>
        <v>413529.03</v>
      </c>
      <c r="W88" s="40" t="s">
        <v>70</v>
      </c>
      <c r="X88" s="129" t="s">
        <v>71</v>
      </c>
      <c r="Y88" s="79">
        <v>1.1000000000000001</v>
      </c>
      <c r="Z88" s="79"/>
      <c r="AA88" s="79"/>
      <c r="AB88" s="80"/>
      <c r="AC88" s="78">
        <f t="shared" si="56"/>
        <v>120184</v>
      </c>
      <c r="AD88" s="83"/>
      <c r="AE88" s="77">
        <f t="shared" si="57"/>
        <v>730.40000000000009</v>
      </c>
      <c r="AF88" s="84"/>
    </row>
    <row r="89" spans="2:32" s="43" customFormat="1" hidden="1">
      <c r="B89" s="60" t="s">
        <v>10</v>
      </c>
      <c r="C89" s="40" t="s">
        <v>15</v>
      </c>
      <c r="D89" s="40" t="s">
        <v>68</v>
      </c>
      <c r="E89" s="91" t="s">
        <v>69</v>
      </c>
      <c r="F89" s="40" t="s">
        <v>51</v>
      </c>
      <c r="G89" s="40"/>
      <c r="H89" s="61" t="s">
        <v>52</v>
      </c>
      <c r="I89" s="57">
        <v>2024</v>
      </c>
      <c r="J89" s="57">
        <v>3</v>
      </c>
      <c r="K89" s="29">
        <v>45597</v>
      </c>
      <c r="L89" s="69"/>
      <c r="M89" s="68">
        <v>0.154</v>
      </c>
      <c r="N89" s="68">
        <v>0.18099999999999999</v>
      </c>
      <c r="O89" s="68">
        <v>2.7E-2</v>
      </c>
      <c r="P89" s="68">
        <f t="shared" si="53"/>
        <v>0</v>
      </c>
      <c r="Q89" s="100">
        <v>1</v>
      </c>
      <c r="R89" s="104">
        <f t="shared" si="2"/>
        <v>0.154</v>
      </c>
      <c r="S89" s="73">
        <v>8000</v>
      </c>
      <c r="T89" s="77">
        <f t="shared" si="54"/>
        <v>20110</v>
      </c>
      <c r="U89" s="78">
        <v>432000</v>
      </c>
      <c r="V89" s="78">
        <f t="shared" si="55"/>
        <v>431457.03</v>
      </c>
      <c r="W89" s="40" t="s">
        <v>70</v>
      </c>
      <c r="X89" s="129" t="s">
        <v>71</v>
      </c>
      <c r="Y89" s="79">
        <v>1.1000000000000001</v>
      </c>
      <c r="Z89" s="79"/>
      <c r="AA89" s="79"/>
      <c r="AB89" s="80"/>
      <c r="AC89" s="78">
        <f t="shared" si="56"/>
        <v>1448</v>
      </c>
      <c r="AD89" s="83"/>
      <c r="AE89" s="77">
        <f t="shared" si="57"/>
        <v>8.8000000000000007</v>
      </c>
      <c r="AF89" s="84"/>
    </row>
    <row r="90" spans="2:32" s="43" customFormat="1" hidden="1">
      <c r="B90" s="60" t="s">
        <v>10</v>
      </c>
      <c r="C90" s="40" t="s">
        <v>15</v>
      </c>
      <c r="D90" s="40" t="s">
        <v>68</v>
      </c>
      <c r="E90" s="91" t="s">
        <v>69</v>
      </c>
      <c r="F90" s="40" t="s">
        <v>51</v>
      </c>
      <c r="G90" s="40"/>
      <c r="H90" s="61" t="s">
        <v>52</v>
      </c>
      <c r="I90" s="57">
        <v>2024</v>
      </c>
      <c r="J90" s="57">
        <v>1</v>
      </c>
      <c r="K90" s="29">
        <v>45597</v>
      </c>
      <c r="L90" s="69"/>
      <c r="M90" s="68">
        <v>0.154</v>
      </c>
      <c r="N90" s="68">
        <v>0.18099999999999999</v>
      </c>
      <c r="O90" s="68">
        <v>2.7E-2</v>
      </c>
      <c r="P90" s="68">
        <f t="shared" si="53"/>
        <v>0</v>
      </c>
      <c r="Q90" s="100">
        <v>1</v>
      </c>
      <c r="R90" s="104">
        <f t="shared" si="2"/>
        <v>0.154</v>
      </c>
      <c r="S90" s="73">
        <v>110</v>
      </c>
      <c r="T90" s="77">
        <f t="shared" si="54"/>
        <v>12110</v>
      </c>
      <c r="U90" s="78">
        <v>432000</v>
      </c>
      <c r="V90" s="78">
        <f t="shared" si="55"/>
        <v>431673.03</v>
      </c>
      <c r="W90" s="40" t="s">
        <v>70</v>
      </c>
      <c r="X90" s="129" t="s">
        <v>71</v>
      </c>
      <c r="Y90" s="79">
        <v>1.1000000000000001</v>
      </c>
      <c r="Z90" s="79"/>
      <c r="AA90" s="79"/>
      <c r="AB90" s="80"/>
      <c r="AC90" s="78">
        <f t="shared" si="56"/>
        <v>19.91</v>
      </c>
      <c r="AD90" s="83"/>
      <c r="AE90" s="77">
        <f t="shared" si="57"/>
        <v>0.12100000000000001</v>
      </c>
      <c r="AF90" s="84"/>
    </row>
    <row r="91" spans="2:32" s="43" customFormat="1" hidden="1">
      <c r="B91" s="60" t="s">
        <v>10</v>
      </c>
      <c r="C91" s="40" t="s">
        <v>15</v>
      </c>
      <c r="D91" s="40" t="s">
        <v>68</v>
      </c>
      <c r="E91" s="91" t="s">
        <v>69</v>
      </c>
      <c r="F91" s="40" t="s">
        <v>51</v>
      </c>
      <c r="G91" s="40"/>
      <c r="H91" s="61" t="s">
        <v>52</v>
      </c>
      <c r="I91" s="57">
        <v>2023</v>
      </c>
      <c r="J91" s="57">
        <v>12</v>
      </c>
      <c r="K91" s="29">
        <v>45597</v>
      </c>
      <c r="L91" s="69"/>
      <c r="M91" s="68">
        <v>0.154</v>
      </c>
      <c r="N91" s="68">
        <v>0.18099999999999999</v>
      </c>
      <c r="O91" s="68">
        <v>2.7E-2</v>
      </c>
      <c r="P91" s="68">
        <f t="shared" si="53"/>
        <v>0</v>
      </c>
      <c r="Q91" s="100">
        <v>1</v>
      </c>
      <c r="R91" s="104">
        <f t="shared" si="2"/>
        <v>0.154</v>
      </c>
      <c r="S91" s="73">
        <v>8000</v>
      </c>
      <c r="T91" s="77">
        <f t="shared" si="54"/>
        <v>12000</v>
      </c>
      <c r="U91" s="78">
        <v>432000</v>
      </c>
      <c r="V91" s="78">
        <f t="shared" si="55"/>
        <v>431676</v>
      </c>
      <c r="W91" s="40" t="s">
        <v>70</v>
      </c>
      <c r="X91" s="129" t="s">
        <v>71</v>
      </c>
      <c r="Y91" s="79">
        <v>1.1000000000000001</v>
      </c>
      <c r="Z91" s="79"/>
      <c r="AA91" s="79"/>
      <c r="AB91" s="80"/>
      <c r="AC91" s="78">
        <f t="shared" si="56"/>
        <v>1448</v>
      </c>
      <c r="AD91" s="83"/>
      <c r="AE91" s="77">
        <f t="shared" si="57"/>
        <v>8.8000000000000007</v>
      </c>
      <c r="AF91" s="84"/>
    </row>
    <row r="92" spans="2:32" s="43" customFormat="1" hidden="1">
      <c r="B92" s="60" t="s">
        <v>10</v>
      </c>
      <c r="C92" s="40" t="s">
        <v>15</v>
      </c>
      <c r="D92" s="40" t="s">
        <v>68</v>
      </c>
      <c r="E92" s="91" t="s">
        <v>69</v>
      </c>
      <c r="F92" s="40" t="s">
        <v>51</v>
      </c>
      <c r="G92" s="40"/>
      <c r="H92" s="61" t="s">
        <v>52</v>
      </c>
      <c r="I92" s="57">
        <v>2023</v>
      </c>
      <c r="J92" s="57">
        <v>11</v>
      </c>
      <c r="K92" s="29">
        <v>45597</v>
      </c>
      <c r="L92" s="69"/>
      <c r="M92" s="68">
        <v>0.154</v>
      </c>
      <c r="N92" s="68">
        <v>0.18099999999999999</v>
      </c>
      <c r="O92" s="68">
        <v>2.7E-2</v>
      </c>
      <c r="P92" s="68">
        <f t="shared" si="53"/>
        <v>0</v>
      </c>
      <c r="Q92" s="100">
        <v>1</v>
      </c>
      <c r="R92" s="104">
        <f t="shared" si="2"/>
        <v>0.154</v>
      </c>
      <c r="S92" s="73">
        <v>4000</v>
      </c>
      <c r="T92" s="77">
        <f>S92</f>
        <v>4000</v>
      </c>
      <c r="U92" s="78">
        <v>432000</v>
      </c>
      <c r="V92" s="78">
        <f t="shared" si="55"/>
        <v>431892</v>
      </c>
      <c r="W92" s="40" t="s">
        <v>70</v>
      </c>
      <c r="X92" s="129" t="s">
        <v>71</v>
      </c>
      <c r="Y92" s="79">
        <v>1.1000000000000001</v>
      </c>
      <c r="Z92" s="79"/>
      <c r="AA92" s="79"/>
      <c r="AB92" s="80"/>
      <c r="AC92" s="78">
        <f t="shared" si="56"/>
        <v>724</v>
      </c>
      <c r="AD92" s="83"/>
      <c r="AE92" s="77">
        <f t="shared" si="57"/>
        <v>4.4000000000000004</v>
      </c>
      <c r="AF92" s="84"/>
    </row>
    <row r="93" spans="2:32" s="43" customFormat="1">
      <c r="B93" s="60" t="s">
        <v>10</v>
      </c>
      <c r="C93" s="40" t="s">
        <v>15</v>
      </c>
      <c r="D93" s="40" t="s">
        <v>73</v>
      </c>
      <c r="E93" s="91" t="s">
        <v>74</v>
      </c>
      <c r="F93" s="40" t="s">
        <v>51</v>
      </c>
      <c r="G93" s="40"/>
      <c r="H93" s="61" t="s">
        <v>52</v>
      </c>
      <c r="I93" s="57">
        <v>2025</v>
      </c>
      <c r="J93" s="57">
        <v>2</v>
      </c>
      <c r="K93" s="29">
        <v>45722</v>
      </c>
      <c r="L93" s="69"/>
      <c r="M93" s="132">
        <v>0.1235</v>
      </c>
      <c r="N93" s="68">
        <f>M93+O93</f>
        <v>0.1375625</v>
      </c>
      <c r="O93" s="68">
        <v>1.40625E-2</v>
      </c>
      <c r="P93" s="68"/>
      <c r="Q93" s="100">
        <v>1</v>
      </c>
      <c r="R93" s="104">
        <f t="shared" ref="R93" si="58">Q93*M93</f>
        <v>0.1235</v>
      </c>
      <c r="S93" s="73">
        <v>78700</v>
      </c>
      <c r="T93" s="144">
        <f>S93+T94</f>
        <v>5307573</v>
      </c>
      <c r="U93" s="136">
        <v>225000</v>
      </c>
      <c r="V93" s="136">
        <f t="shared" si="55"/>
        <v>150362.25468750001</v>
      </c>
      <c r="W93" s="40" t="s">
        <v>70</v>
      </c>
      <c r="X93" s="129" t="s">
        <v>75</v>
      </c>
      <c r="Y93" s="79">
        <v>0.9</v>
      </c>
      <c r="Z93" s="79"/>
      <c r="AA93" s="79"/>
      <c r="AB93" s="80"/>
      <c r="AC93" s="78">
        <f t="shared" si="56"/>
        <v>10826.168750000001</v>
      </c>
      <c r="AD93" s="83"/>
      <c r="AE93" s="77">
        <f t="shared" ref="AE93" si="59">S93*Y93/1000</f>
        <v>70.83</v>
      </c>
      <c r="AF93" s="84"/>
    </row>
    <row r="94" spans="2:32" s="43" customFormat="1" hidden="1">
      <c r="B94" s="60" t="s">
        <v>10</v>
      </c>
      <c r="C94" s="40" t="s">
        <v>15</v>
      </c>
      <c r="D94" s="40" t="s">
        <v>73</v>
      </c>
      <c r="E94" s="91" t="s">
        <v>74</v>
      </c>
      <c r="F94" s="40" t="s">
        <v>51</v>
      </c>
      <c r="G94" s="40"/>
      <c r="H94" s="61" t="s">
        <v>52</v>
      </c>
      <c r="I94" s="57">
        <v>2025</v>
      </c>
      <c r="J94" s="57">
        <v>1</v>
      </c>
      <c r="K94" s="29">
        <v>45701</v>
      </c>
      <c r="L94" s="69"/>
      <c r="M94" s="68">
        <v>0.13700000000000001</v>
      </c>
      <c r="N94" s="68">
        <v>0.15106249999999999</v>
      </c>
      <c r="O94" s="68">
        <v>1.40625E-2</v>
      </c>
      <c r="P94" s="68"/>
      <c r="Q94" s="100">
        <v>1</v>
      </c>
      <c r="R94" s="104">
        <f t="shared" si="2"/>
        <v>0.13700000000000001</v>
      </c>
      <c r="S94" s="73">
        <v>264231</v>
      </c>
      <c r="T94" s="77">
        <f>S94+T95</f>
        <v>5228873</v>
      </c>
      <c r="U94" s="78">
        <v>225000</v>
      </c>
      <c r="V94" s="78">
        <f t="shared" ref="V94" si="60">U94-O94*T94</f>
        <v>151468.97343750001</v>
      </c>
      <c r="W94" s="40" t="s">
        <v>70</v>
      </c>
      <c r="X94" s="129" t="s">
        <v>75</v>
      </c>
      <c r="Y94" s="79">
        <v>0.9</v>
      </c>
      <c r="Z94" s="79"/>
      <c r="AA94" s="79"/>
      <c r="AB94" s="80"/>
      <c r="AC94" s="78">
        <f t="shared" ref="AC94" si="61">N94*S94</f>
        <v>39915.395437499996</v>
      </c>
      <c r="AD94" s="83"/>
      <c r="AE94" s="77">
        <f t="shared" si="57"/>
        <v>237.80789999999999</v>
      </c>
      <c r="AF94" s="84"/>
    </row>
    <row r="95" spans="2:32" s="43" customFormat="1" hidden="1">
      <c r="B95" s="60" t="s">
        <v>10</v>
      </c>
      <c r="C95" s="40" t="s">
        <v>15</v>
      </c>
      <c r="D95" s="40" t="s">
        <v>73</v>
      </c>
      <c r="E95" s="91" t="s">
        <v>74</v>
      </c>
      <c r="F95" s="40" t="s">
        <v>51</v>
      </c>
      <c r="G95" s="40"/>
      <c r="H95" s="61" t="s">
        <v>52</v>
      </c>
      <c r="I95" s="57">
        <v>2024</v>
      </c>
      <c r="J95" s="57">
        <v>12</v>
      </c>
      <c r="K95" s="29">
        <v>45665</v>
      </c>
      <c r="L95" s="69"/>
      <c r="M95" s="68">
        <v>0.13700000000000001</v>
      </c>
      <c r="N95" s="68">
        <v>0.15106249999999999</v>
      </c>
      <c r="O95" s="68">
        <v>1.40625E-2</v>
      </c>
      <c r="P95" s="68"/>
      <c r="Q95" s="100">
        <v>1</v>
      </c>
      <c r="R95" s="104">
        <f t="shared" ref="R95" si="62">Q95*M95</f>
        <v>0.13700000000000001</v>
      </c>
      <c r="S95" s="73">
        <v>409842</v>
      </c>
      <c r="T95" s="77">
        <f>S95+T96</f>
        <v>4964642</v>
      </c>
      <c r="U95" s="78">
        <v>225000</v>
      </c>
      <c r="V95" s="78">
        <f t="shared" si="55"/>
        <v>155184.72187499999</v>
      </c>
      <c r="W95" s="40" t="s">
        <v>70</v>
      </c>
      <c r="X95" s="129" t="s">
        <v>75</v>
      </c>
      <c r="Y95" s="79">
        <v>0.9</v>
      </c>
      <c r="Z95" s="79"/>
      <c r="AA95" s="79"/>
      <c r="AB95" s="80"/>
      <c r="AC95" s="78">
        <f t="shared" si="56"/>
        <v>61911.757124999996</v>
      </c>
      <c r="AD95" s="83"/>
      <c r="AE95" s="77">
        <f t="shared" si="57"/>
        <v>368.8578</v>
      </c>
      <c r="AF95" s="84"/>
    </row>
    <row r="96" spans="2:32" s="43" customFormat="1" hidden="1">
      <c r="B96" s="60" t="s">
        <v>10</v>
      </c>
      <c r="C96" s="40" t="s">
        <v>15</v>
      </c>
      <c r="D96" s="40" t="s">
        <v>73</v>
      </c>
      <c r="E96" s="91" t="s">
        <v>74</v>
      </c>
      <c r="F96" s="40" t="s">
        <v>51</v>
      </c>
      <c r="G96" s="40"/>
      <c r="H96" s="61" t="s">
        <v>52</v>
      </c>
      <c r="I96" s="57">
        <v>2024</v>
      </c>
      <c r="J96" s="57">
        <v>11</v>
      </c>
      <c r="K96" s="29">
        <v>45629</v>
      </c>
      <c r="L96" s="69"/>
      <c r="M96" s="68">
        <v>0.13700000000000001</v>
      </c>
      <c r="N96" s="68">
        <v>0.15106249999999999</v>
      </c>
      <c r="O96" s="68">
        <v>1.40625E-2</v>
      </c>
      <c r="P96" s="68"/>
      <c r="Q96" s="100">
        <v>1</v>
      </c>
      <c r="R96" s="104">
        <f t="shared" si="2"/>
        <v>0.13700000000000001</v>
      </c>
      <c r="S96" s="73">
        <v>225000</v>
      </c>
      <c r="T96" s="77">
        <f>S96+T97</f>
        <v>4554800</v>
      </c>
      <c r="U96" s="78">
        <v>225000</v>
      </c>
      <c r="V96" s="78">
        <f t="shared" ref="V96" si="63">U96-O96*T96</f>
        <v>160948.125</v>
      </c>
      <c r="W96" s="40" t="s">
        <v>70</v>
      </c>
      <c r="X96" s="129" t="s">
        <v>75</v>
      </c>
      <c r="Y96" s="79">
        <v>0.9</v>
      </c>
      <c r="Z96" s="79"/>
      <c r="AA96" s="79"/>
      <c r="AB96" s="80"/>
      <c r="AC96" s="78">
        <f t="shared" ref="AC96" si="64">N96*S96</f>
        <v>33989.0625</v>
      </c>
      <c r="AD96" s="83"/>
      <c r="AE96" s="77">
        <f t="shared" ref="AE96" si="65">S96*Y96/1000</f>
        <v>202.5</v>
      </c>
      <c r="AF96" s="84"/>
    </row>
    <row r="97" spans="2:32" s="43" customFormat="1" hidden="1">
      <c r="B97" s="60" t="s">
        <v>10</v>
      </c>
      <c r="C97" s="40" t="s">
        <v>15</v>
      </c>
      <c r="D97" s="40" t="s">
        <v>73</v>
      </c>
      <c r="E97" s="91" t="s">
        <v>74</v>
      </c>
      <c r="F97" s="40" t="s">
        <v>51</v>
      </c>
      <c r="G97" s="40"/>
      <c r="H97" s="61" t="s">
        <v>52</v>
      </c>
      <c r="I97" s="57">
        <v>2024</v>
      </c>
      <c r="J97" s="57">
        <v>10</v>
      </c>
      <c r="K97" s="29">
        <v>45597</v>
      </c>
      <c r="L97" s="69"/>
      <c r="M97" s="68">
        <v>0.13700000000000001</v>
      </c>
      <c r="N97" s="68">
        <v>0.15106249999999999</v>
      </c>
      <c r="O97" s="68">
        <v>1.40625E-2</v>
      </c>
      <c r="P97" s="68"/>
      <c r="Q97" s="100">
        <v>1</v>
      </c>
      <c r="R97" s="104">
        <f t="shared" si="2"/>
        <v>0.13700000000000001</v>
      </c>
      <c r="S97" s="73">
        <v>60000</v>
      </c>
      <c r="T97" s="77">
        <f>S97+T98</f>
        <v>4329800</v>
      </c>
      <c r="U97" s="78">
        <v>225000</v>
      </c>
      <c r="V97" s="78">
        <f t="shared" si="55"/>
        <v>164112.1875</v>
      </c>
      <c r="W97" s="40" t="s">
        <v>70</v>
      </c>
      <c r="X97" s="129" t="s">
        <v>75</v>
      </c>
      <c r="Y97" s="79">
        <v>0.9</v>
      </c>
      <c r="Z97" s="79"/>
      <c r="AA97" s="79"/>
      <c r="AB97" s="80"/>
      <c r="AC97" s="78">
        <f t="shared" si="56"/>
        <v>9063.75</v>
      </c>
      <c r="AD97" s="83"/>
      <c r="AE97" s="77">
        <f t="shared" si="57"/>
        <v>54</v>
      </c>
      <c r="AF97" s="84"/>
    </row>
    <row r="98" spans="2:32" s="43" customFormat="1" hidden="1">
      <c r="B98" s="60" t="s">
        <v>10</v>
      </c>
      <c r="C98" s="40" t="str">
        <f>VLOOKUP(B98,[1]Sheet1!$A:$B,2,0)</f>
        <v>RCS DEVICE</v>
      </c>
      <c r="D98" s="40" t="s">
        <v>73</v>
      </c>
      <c r="E98" s="91" t="s">
        <v>74</v>
      </c>
      <c r="F98" s="40" t="s">
        <v>51</v>
      </c>
      <c r="G98" s="40"/>
      <c r="H98" s="62" t="s">
        <v>52</v>
      </c>
      <c r="I98" s="57">
        <v>2024</v>
      </c>
      <c r="J98" s="57">
        <v>9</v>
      </c>
      <c r="K98" s="29">
        <v>45597</v>
      </c>
      <c r="L98" s="69"/>
      <c r="M98" s="68">
        <v>0.13700000000000001</v>
      </c>
      <c r="N98" s="68">
        <v>0.15106249999999999</v>
      </c>
      <c r="O98" s="68">
        <v>1.40625E-2</v>
      </c>
      <c r="P98" s="68">
        <f t="shared" ref="P98:P105" si="66">L98*O98</f>
        <v>0</v>
      </c>
      <c r="Q98" s="100">
        <v>1</v>
      </c>
      <c r="R98" s="104">
        <f t="shared" si="2"/>
        <v>0.13700000000000001</v>
      </c>
      <c r="S98" s="73">
        <v>831000</v>
      </c>
      <c r="T98" s="77">
        <v>4269800</v>
      </c>
      <c r="U98" s="78">
        <v>225000</v>
      </c>
      <c r="V98" s="78">
        <f>U98-O98*T98</f>
        <v>164955.9375</v>
      </c>
      <c r="W98" s="40" t="s">
        <v>70</v>
      </c>
      <c r="X98" s="129" t="s">
        <v>75</v>
      </c>
      <c r="Y98" s="79">
        <v>0.9</v>
      </c>
      <c r="Z98" s="79"/>
      <c r="AA98" s="79"/>
      <c r="AB98" s="80"/>
      <c r="AC98" s="78">
        <f>N98*S98</f>
        <v>125532.93749999999</v>
      </c>
      <c r="AD98" s="83">
        <v>0</v>
      </c>
      <c r="AE98" s="77">
        <f>S98*Y98/1000</f>
        <v>747.9</v>
      </c>
      <c r="AF98" s="84"/>
    </row>
    <row r="99" spans="2:32" s="43" customFormat="1" hidden="1">
      <c r="B99" s="60" t="s">
        <v>10</v>
      </c>
      <c r="C99" s="40" t="s">
        <v>15</v>
      </c>
      <c r="D99" s="40" t="s">
        <v>73</v>
      </c>
      <c r="E99" s="91" t="s">
        <v>74</v>
      </c>
      <c r="F99" s="40" t="s">
        <v>51</v>
      </c>
      <c r="G99" s="40"/>
      <c r="H99" s="62" t="s">
        <v>52</v>
      </c>
      <c r="I99" s="57">
        <v>2024</v>
      </c>
      <c r="J99" s="57">
        <v>8</v>
      </c>
      <c r="K99" s="29">
        <v>45597</v>
      </c>
      <c r="L99" s="69"/>
      <c r="M99" s="68">
        <v>0.13700000000000001</v>
      </c>
      <c r="N99" s="68">
        <v>0.15106249999999999</v>
      </c>
      <c r="O99" s="68">
        <v>1.40625E-2</v>
      </c>
      <c r="P99" s="68">
        <f t="shared" si="66"/>
        <v>0</v>
      </c>
      <c r="Q99" s="100">
        <v>1</v>
      </c>
      <c r="R99" s="104">
        <f t="shared" si="2"/>
        <v>0.13700000000000001</v>
      </c>
      <c r="S99" s="73">
        <v>625800</v>
      </c>
      <c r="T99" s="77">
        <f t="shared" ref="T99:T104" si="67">S99+T100</f>
        <v>3438800</v>
      </c>
      <c r="U99" s="78">
        <v>225000</v>
      </c>
      <c r="V99" s="78">
        <f t="shared" ref="V99:V112" si="68">U99-O99*T99</f>
        <v>176641.875</v>
      </c>
      <c r="W99" s="40" t="s">
        <v>70</v>
      </c>
      <c r="X99" s="129" t="s">
        <v>75</v>
      </c>
      <c r="Y99" s="79">
        <v>0.9</v>
      </c>
      <c r="Z99" s="79"/>
      <c r="AA99" s="79"/>
      <c r="AB99" s="80"/>
      <c r="AC99" s="78">
        <f t="shared" ref="AC99:AC112" si="69">N99*S99</f>
        <v>94534.912499999991</v>
      </c>
      <c r="AD99" s="83"/>
      <c r="AE99" s="77">
        <f t="shared" ref="AE99:AE112" si="70">S99*Y99/1000</f>
        <v>563.22</v>
      </c>
      <c r="AF99" s="84"/>
    </row>
    <row r="100" spans="2:32" s="43" customFormat="1" hidden="1">
      <c r="B100" s="60" t="s">
        <v>10</v>
      </c>
      <c r="C100" s="40" t="s">
        <v>15</v>
      </c>
      <c r="D100" s="40" t="s">
        <v>73</v>
      </c>
      <c r="E100" s="91" t="s">
        <v>74</v>
      </c>
      <c r="F100" s="40" t="s">
        <v>51</v>
      </c>
      <c r="G100" s="40"/>
      <c r="H100" s="62" t="s">
        <v>52</v>
      </c>
      <c r="I100" s="57">
        <v>2024</v>
      </c>
      <c r="J100" s="57">
        <v>7</v>
      </c>
      <c r="K100" s="29">
        <v>45597</v>
      </c>
      <c r="L100" s="69"/>
      <c r="M100" s="68">
        <v>0.13700000000000001</v>
      </c>
      <c r="N100" s="68">
        <v>0.15106249999999999</v>
      </c>
      <c r="O100" s="68">
        <v>1.40625E-2</v>
      </c>
      <c r="P100" s="68">
        <f t="shared" si="66"/>
        <v>0</v>
      </c>
      <c r="Q100" s="100">
        <v>1</v>
      </c>
      <c r="R100" s="104">
        <f t="shared" si="2"/>
        <v>0.13700000000000001</v>
      </c>
      <c r="S100" s="73">
        <v>190000</v>
      </c>
      <c r="T100" s="77">
        <f t="shared" si="67"/>
        <v>2813000</v>
      </c>
      <c r="U100" s="78">
        <v>225000</v>
      </c>
      <c r="V100" s="78">
        <f t="shared" si="68"/>
        <v>185442.1875</v>
      </c>
      <c r="W100" s="40" t="s">
        <v>70</v>
      </c>
      <c r="X100" s="129" t="s">
        <v>75</v>
      </c>
      <c r="Y100" s="79">
        <v>0.9</v>
      </c>
      <c r="Z100" s="79"/>
      <c r="AA100" s="79"/>
      <c r="AB100" s="80"/>
      <c r="AC100" s="78">
        <f t="shared" si="69"/>
        <v>28701.874999999996</v>
      </c>
      <c r="AD100" s="83"/>
      <c r="AE100" s="77">
        <f t="shared" si="70"/>
        <v>171</v>
      </c>
      <c r="AF100" s="84"/>
    </row>
    <row r="101" spans="2:32" s="43" customFormat="1" hidden="1">
      <c r="B101" s="60" t="s">
        <v>10</v>
      </c>
      <c r="C101" s="40" t="s">
        <v>15</v>
      </c>
      <c r="D101" s="40" t="s">
        <v>73</v>
      </c>
      <c r="E101" s="91" t="s">
        <v>74</v>
      </c>
      <c r="F101" s="40" t="s">
        <v>51</v>
      </c>
      <c r="G101" s="40"/>
      <c r="H101" s="62" t="s">
        <v>52</v>
      </c>
      <c r="I101" s="57">
        <v>2024</v>
      </c>
      <c r="J101" s="57">
        <v>6</v>
      </c>
      <c r="K101" s="29">
        <v>45597</v>
      </c>
      <c r="L101" s="69"/>
      <c r="M101" s="68">
        <v>0.13700000000000001</v>
      </c>
      <c r="N101" s="68">
        <v>0.15106249999999999</v>
      </c>
      <c r="O101" s="68">
        <v>1.40625E-2</v>
      </c>
      <c r="P101" s="68">
        <f t="shared" si="66"/>
        <v>0</v>
      </c>
      <c r="Q101" s="100">
        <v>1</v>
      </c>
      <c r="R101" s="104">
        <f t="shared" si="2"/>
        <v>0.13700000000000001</v>
      </c>
      <c r="S101" s="73">
        <v>1060000</v>
      </c>
      <c r="T101" s="77">
        <f t="shared" si="67"/>
        <v>2623000</v>
      </c>
      <c r="U101" s="78">
        <v>225000</v>
      </c>
      <c r="V101" s="78">
        <f t="shared" si="68"/>
        <v>188114.0625</v>
      </c>
      <c r="W101" s="40" t="s">
        <v>70</v>
      </c>
      <c r="X101" s="129" t="s">
        <v>75</v>
      </c>
      <c r="Y101" s="79">
        <v>0.9</v>
      </c>
      <c r="Z101" s="79"/>
      <c r="AA101" s="79"/>
      <c r="AB101" s="80"/>
      <c r="AC101" s="78">
        <f t="shared" si="69"/>
        <v>160126.25</v>
      </c>
      <c r="AD101" s="83"/>
      <c r="AE101" s="77">
        <f t="shared" si="70"/>
        <v>954</v>
      </c>
      <c r="AF101" s="84"/>
    </row>
    <row r="102" spans="2:32" s="43" customFormat="1" hidden="1">
      <c r="B102" s="60" t="s">
        <v>10</v>
      </c>
      <c r="C102" s="40" t="s">
        <v>15</v>
      </c>
      <c r="D102" s="40" t="s">
        <v>73</v>
      </c>
      <c r="E102" s="91" t="s">
        <v>74</v>
      </c>
      <c r="F102" s="40" t="s">
        <v>51</v>
      </c>
      <c r="G102" s="40"/>
      <c r="H102" s="62" t="s">
        <v>52</v>
      </c>
      <c r="I102" s="57">
        <v>2024</v>
      </c>
      <c r="J102" s="57">
        <v>5</v>
      </c>
      <c r="K102" s="29">
        <v>45597</v>
      </c>
      <c r="L102" s="69"/>
      <c r="M102" s="68">
        <v>0.13700000000000001</v>
      </c>
      <c r="N102" s="68">
        <v>0.15106249999999999</v>
      </c>
      <c r="O102" s="68">
        <v>1.40625E-2</v>
      </c>
      <c r="P102" s="68">
        <f t="shared" si="66"/>
        <v>0</v>
      </c>
      <c r="Q102" s="100">
        <v>1</v>
      </c>
      <c r="R102" s="104">
        <f t="shared" si="2"/>
        <v>0.13700000000000001</v>
      </c>
      <c r="S102" s="73">
        <v>890000</v>
      </c>
      <c r="T102" s="77">
        <f t="shared" si="67"/>
        <v>1563000</v>
      </c>
      <c r="U102" s="78">
        <v>225000</v>
      </c>
      <c r="V102" s="78">
        <f t="shared" si="68"/>
        <v>203020.3125</v>
      </c>
      <c r="W102" s="40" t="s">
        <v>70</v>
      </c>
      <c r="X102" s="129" t="s">
        <v>75</v>
      </c>
      <c r="Y102" s="79">
        <v>0.9</v>
      </c>
      <c r="Z102" s="79"/>
      <c r="AA102" s="79"/>
      <c r="AB102" s="80"/>
      <c r="AC102" s="78">
        <f t="shared" si="69"/>
        <v>134445.625</v>
      </c>
      <c r="AD102" s="83"/>
      <c r="AE102" s="77">
        <f t="shared" si="70"/>
        <v>801</v>
      </c>
      <c r="AF102" s="84"/>
    </row>
    <row r="103" spans="2:32" s="43" customFormat="1" hidden="1">
      <c r="B103" s="60" t="s">
        <v>10</v>
      </c>
      <c r="C103" s="40" t="s">
        <v>15</v>
      </c>
      <c r="D103" s="40" t="s">
        <v>73</v>
      </c>
      <c r="E103" s="91" t="s">
        <v>74</v>
      </c>
      <c r="F103" s="40" t="s">
        <v>51</v>
      </c>
      <c r="G103" s="40"/>
      <c r="H103" s="62" t="s">
        <v>52</v>
      </c>
      <c r="I103" s="57">
        <v>2024</v>
      </c>
      <c r="J103" s="57">
        <v>4</v>
      </c>
      <c r="K103" s="29">
        <v>45597</v>
      </c>
      <c r="L103" s="69"/>
      <c r="M103" s="68">
        <v>0.13700000000000001</v>
      </c>
      <c r="N103" s="68">
        <v>0.15106249999999999</v>
      </c>
      <c r="O103" s="68">
        <v>1.40625E-2</v>
      </c>
      <c r="P103" s="68">
        <f t="shared" si="66"/>
        <v>0</v>
      </c>
      <c r="Q103" s="100">
        <v>1</v>
      </c>
      <c r="R103" s="104">
        <f t="shared" si="2"/>
        <v>0.13700000000000001</v>
      </c>
      <c r="S103" s="73">
        <v>664000</v>
      </c>
      <c r="T103" s="77">
        <f t="shared" si="67"/>
        <v>673000</v>
      </c>
      <c r="U103" s="78">
        <v>225000</v>
      </c>
      <c r="V103" s="78">
        <f t="shared" si="68"/>
        <v>215535.9375</v>
      </c>
      <c r="W103" s="40" t="s">
        <v>70</v>
      </c>
      <c r="X103" s="129" t="s">
        <v>75</v>
      </c>
      <c r="Y103" s="79">
        <v>0.9</v>
      </c>
      <c r="Z103" s="79"/>
      <c r="AA103" s="79"/>
      <c r="AB103" s="80"/>
      <c r="AC103" s="78">
        <f t="shared" si="69"/>
        <v>100305.49999999999</v>
      </c>
      <c r="AD103" s="83"/>
      <c r="AE103" s="77">
        <f t="shared" si="70"/>
        <v>597.6</v>
      </c>
      <c r="AF103" s="84"/>
    </row>
    <row r="104" spans="2:32" s="43" customFormat="1" hidden="1">
      <c r="B104" s="60" t="s">
        <v>10</v>
      </c>
      <c r="C104" s="40" t="s">
        <v>15</v>
      </c>
      <c r="D104" s="40" t="s">
        <v>73</v>
      </c>
      <c r="E104" s="91" t="s">
        <v>74</v>
      </c>
      <c r="F104" s="40" t="s">
        <v>51</v>
      </c>
      <c r="G104" s="40"/>
      <c r="H104" s="62" t="s">
        <v>52</v>
      </c>
      <c r="I104" s="57">
        <v>2024</v>
      </c>
      <c r="J104" s="57">
        <v>3</v>
      </c>
      <c r="K104" s="29">
        <v>45597</v>
      </c>
      <c r="L104" s="69"/>
      <c r="M104" s="68">
        <v>0.13700000000000001</v>
      </c>
      <c r="N104" s="68">
        <v>0.15106249999999999</v>
      </c>
      <c r="O104" s="68">
        <v>1.40625E-2</v>
      </c>
      <c r="P104" s="68">
        <f t="shared" si="66"/>
        <v>0</v>
      </c>
      <c r="Q104" s="100">
        <v>1</v>
      </c>
      <c r="R104" s="104">
        <f t="shared" si="2"/>
        <v>0.13700000000000001</v>
      </c>
      <c r="S104" s="73">
        <v>4000</v>
      </c>
      <c r="T104" s="77">
        <f t="shared" si="67"/>
        <v>9000</v>
      </c>
      <c r="U104" s="78">
        <v>225000</v>
      </c>
      <c r="V104" s="78">
        <f t="shared" si="68"/>
        <v>224873.4375</v>
      </c>
      <c r="W104" s="40" t="s">
        <v>70</v>
      </c>
      <c r="X104" s="129" t="s">
        <v>75</v>
      </c>
      <c r="Y104" s="79">
        <v>0.9</v>
      </c>
      <c r="Z104" s="79"/>
      <c r="AA104" s="79"/>
      <c r="AB104" s="80"/>
      <c r="AC104" s="78">
        <f t="shared" si="69"/>
        <v>604.25</v>
      </c>
      <c r="AD104" s="83"/>
      <c r="AE104" s="77">
        <f t="shared" si="70"/>
        <v>3.6</v>
      </c>
      <c r="AF104" s="84"/>
    </row>
    <row r="105" spans="2:32" s="43" customFormat="1" hidden="1">
      <c r="B105" s="60" t="s">
        <v>10</v>
      </c>
      <c r="C105" s="40" t="s">
        <v>15</v>
      </c>
      <c r="D105" s="40" t="s">
        <v>73</v>
      </c>
      <c r="E105" s="91" t="s">
        <v>74</v>
      </c>
      <c r="F105" s="40" t="s">
        <v>51</v>
      </c>
      <c r="G105" s="40"/>
      <c r="H105" s="62" t="s">
        <v>52</v>
      </c>
      <c r="I105" s="57">
        <v>2023</v>
      </c>
      <c r="J105" s="57">
        <v>12</v>
      </c>
      <c r="K105" s="29">
        <v>45597</v>
      </c>
      <c r="L105" s="69"/>
      <c r="M105" s="68">
        <v>0.13700000000000001</v>
      </c>
      <c r="N105" s="68">
        <v>0.15106249999999999</v>
      </c>
      <c r="O105" s="68">
        <v>1.40625E-2</v>
      </c>
      <c r="P105" s="68">
        <f t="shared" si="66"/>
        <v>0</v>
      </c>
      <c r="Q105" s="100">
        <v>1</v>
      </c>
      <c r="R105" s="104">
        <f t="shared" si="2"/>
        <v>0.13700000000000001</v>
      </c>
      <c r="S105" s="73">
        <v>5000</v>
      </c>
      <c r="T105" s="77">
        <f>S105</f>
        <v>5000</v>
      </c>
      <c r="U105" s="78">
        <v>225000</v>
      </c>
      <c r="V105" s="78">
        <f t="shared" si="68"/>
        <v>224929.6875</v>
      </c>
      <c r="W105" s="40" t="s">
        <v>70</v>
      </c>
      <c r="X105" s="129" t="s">
        <v>75</v>
      </c>
      <c r="Y105" s="79">
        <v>0.9</v>
      </c>
      <c r="Z105" s="79"/>
      <c r="AA105" s="79"/>
      <c r="AB105" s="80"/>
      <c r="AC105" s="78">
        <f t="shared" si="69"/>
        <v>755.31249999999989</v>
      </c>
      <c r="AD105" s="83"/>
      <c r="AE105" s="77">
        <f t="shared" si="70"/>
        <v>4.5</v>
      </c>
      <c r="AF105" s="84"/>
    </row>
    <row r="106" spans="2:32" s="43" customFormat="1">
      <c r="B106" s="60" t="s">
        <v>8</v>
      </c>
      <c r="C106" s="40" t="s">
        <v>16</v>
      </c>
      <c r="D106" s="40" t="s">
        <v>76</v>
      </c>
      <c r="E106" s="91" t="s">
        <v>77</v>
      </c>
      <c r="F106" s="40" t="s">
        <v>51</v>
      </c>
      <c r="G106" s="40"/>
      <c r="H106" s="62" t="s">
        <v>52</v>
      </c>
      <c r="I106" s="57">
        <v>2025</v>
      </c>
      <c r="J106" s="57">
        <v>2</v>
      </c>
      <c r="K106" s="29">
        <v>45722</v>
      </c>
      <c r="L106" s="69"/>
      <c r="M106" s="132">
        <v>0.95274999999999999</v>
      </c>
      <c r="N106" s="68">
        <f>M106+O106</f>
        <v>1</v>
      </c>
      <c r="O106" s="68">
        <v>4.725E-2</v>
      </c>
      <c r="P106" s="68"/>
      <c r="Q106" s="100">
        <v>1</v>
      </c>
      <c r="R106" s="104">
        <f t="shared" ref="R106" si="71">Q106*M106</f>
        <v>0.95274999999999999</v>
      </c>
      <c r="S106" s="73">
        <v>0</v>
      </c>
      <c r="T106" s="144">
        <v>559134</v>
      </c>
      <c r="U106" s="136">
        <v>433248</v>
      </c>
      <c r="V106" s="136">
        <f t="shared" si="68"/>
        <v>406828.91850000003</v>
      </c>
      <c r="W106" s="40" t="s">
        <v>78</v>
      </c>
      <c r="X106" s="129"/>
      <c r="Y106" s="79">
        <v>14.4</v>
      </c>
      <c r="Z106" s="79"/>
      <c r="AA106" s="79"/>
      <c r="AB106" s="80"/>
      <c r="AC106" s="78">
        <f t="shared" si="69"/>
        <v>0</v>
      </c>
      <c r="AD106" s="83"/>
      <c r="AE106" s="77">
        <f t="shared" si="70"/>
        <v>0</v>
      </c>
      <c r="AF106" s="84"/>
    </row>
    <row r="107" spans="2:32" s="43" customFormat="1" hidden="1">
      <c r="B107" s="60" t="s">
        <v>8</v>
      </c>
      <c r="C107" s="40" t="s">
        <v>16</v>
      </c>
      <c r="D107" s="40" t="s">
        <v>76</v>
      </c>
      <c r="E107" s="91" t="s">
        <v>77</v>
      </c>
      <c r="F107" s="40" t="s">
        <v>51</v>
      </c>
      <c r="G107" s="40"/>
      <c r="H107" s="62" t="s">
        <v>52</v>
      </c>
      <c r="I107" s="57">
        <v>2025</v>
      </c>
      <c r="J107" s="57">
        <v>1</v>
      </c>
      <c r="K107" s="29">
        <v>45705</v>
      </c>
      <c r="L107" s="69"/>
      <c r="M107" s="68">
        <v>1.0355000000000001</v>
      </c>
      <c r="N107" s="68">
        <v>1.0827500000000001</v>
      </c>
      <c r="O107" s="68">
        <v>4.725E-2</v>
      </c>
      <c r="P107" s="68"/>
      <c r="Q107" s="100">
        <v>1</v>
      </c>
      <c r="R107" s="104">
        <f t="shared" si="2"/>
        <v>1.0355000000000001</v>
      </c>
      <c r="S107" s="73">
        <v>7614</v>
      </c>
      <c r="T107" s="77">
        <f>T110+S107+S108+S109</f>
        <v>559134</v>
      </c>
      <c r="U107" s="78">
        <v>433248</v>
      </c>
      <c r="V107" s="78">
        <f t="shared" si="68"/>
        <v>406828.91850000003</v>
      </c>
      <c r="W107" s="40" t="s">
        <v>78</v>
      </c>
      <c r="X107" s="129" t="s">
        <v>79</v>
      </c>
      <c r="Y107" s="79">
        <v>14.4</v>
      </c>
      <c r="Z107" s="79"/>
      <c r="AA107" s="79"/>
      <c r="AB107" s="80"/>
      <c r="AC107" s="78">
        <f t="shared" ref="AC107" si="72">N107*S107</f>
        <v>8244.058500000001</v>
      </c>
      <c r="AD107" s="83"/>
      <c r="AE107" s="77">
        <f t="shared" ref="AE107" si="73">S107*Y107/1000</f>
        <v>109.64160000000001</v>
      </c>
      <c r="AF107" s="84"/>
    </row>
    <row r="108" spans="2:32" s="43" customFormat="1" hidden="1">
      <c r="B108" s="60" t="s">
        <v>8</v>
      </c>
      <c r="C108" s="40" t="s">
        <v>16</v>
      </c>
      <c r="D108" s="40" t="s">
        <v>76</v>
      </c>
      <c r="E108" s="91" t="s">
        <v>77</v>
      </c>
      <c r="F108" s="40" t="s">
        <v>51</v>
      </c>
      <c r="G108" s="40"/>
      <c r="H108" s="62" t="s">
        <v>52</v>
      </c>
      <c r="I108" s="57">
        <v>2025</v>
      </c>
      <c r="J108" s="57">
        <v>1</v>
      </c>
      <c r="K108" s="29">
        <v>45705</v>
      </c>
      <c r="L108" s="69"/>
      <c r="M108" s="68">
        <v>1.0355000000000001</v>
      </c>
      <c r="N108" s="68">
        <v>1.0827500000000001</v>
      </c>
      <c r="O108" s="68">
        <v>4.725E-2</v>
      </c>
      <c r="P108" s="68"/>
      <c r="Q108" s="100">
        <v>1</v>
      </c>
      <c r="R108" s="104">
        <f t="shared" si="2"/>
        <v>1.0355000000000001</v>
      </c>
      <c r="S108" s="73">
        <v>30830</v>
      </c>
      <c r="T108" s="77"/>
      <c r="U108" s="78"/>
      <c r="V108" s="78"/>
      <c r="W108" s="40" t="s">
        <v>78</v>
      </c>
      <c r="X108" s="129" t="s">
        <v>80</v>
      </c>
      <c r="Y108" s="79"/>
      <c r="Z108" s="79"/>
      <c r="AA108" s="79"/>
      <c r="AB108" s="80"/>
      <c r="AC108" s="78"/>
      <c r="AD108" s="83"/>
      <c r="AE108" s="77"/>
      <c r="AF108" s="84"/>
    </row>
    <row r="109" spans="2:32" s="43" customFormat="1" hidden="1">
      <c r="B109" s="60" t="s">
        <v>8</v>
      </c>
      <c r="C109" s="40" t="s">
        <v>16</v>
      </c>
      <c r="D109" s="40" t="s">
        <v>76</v>
      </c>
      <c r="E109" s="91" t="s">
        <v>77</v>
      </c>
      <c r="F109" s="40" t="s">
        <v>51</v>
      </c>
      <c r="G109" s="40"/>
      <c r="H109" s="62" t="s">
        <v>52</v>
      </c>
      <c r="I109" s="57">
        <v>2025</v>
      </c>
      <c r="J109" s="57">
        <v>1</v>
      </c>
      <c r="K109" s="29">
        <v>45705</v>
      </c>
      <c r="L109" s="69"/>
      <c r="M109" s="68">
        <v>1.0355000000000001</v>
      </c>
      <c r="N109" s="68">
        <v>1.0827500000000001</v>
      </c>
      <c r="O109" s="68">
        <v>4.725E-2</v>
      </c>
      <c r="P109" s="68"/>
      <c r="Q109" s="100">
        <v>1</v>
      </c>
      <c r="R109" s="104">
        <f t="shared" si="2"/>
        <v>1.0355000000000001</v>
      </c>
      <c r="S109" s="73">
        <v>11520</v>
      </c>
      <c r="T109" s="77"/>
      <c r="U109" s="78"/>
      <c r="V109" s="78"/>
      <c r="W109" s="40" t="s">
        <v>78</v>
      </c>
      <c r="X109" s="129" t="s">
        <v>81</v>
      </c>
      <c r="Y109" s="79"/>
      <c r="Z109" s="79"/>
      <c r="AA109" s="79"/>
      <c r="AB109" s="80"/>
      <c r="AC109" s="78"/>
      <c r="AD109" s="83"/>
      <c r="AE109" s="77"/>
      <c r="AF109" s="84"/>
    </row>
    <row r="110" spans="2:32" s="43" customFormat="1" hidden="1">
      <c r="B110" s="60" t="s">
        <v>8</v>
      </c>
      <c r="C110" s="40" t="s">
        <v>16</v>
      </c>
      <c r="D110" s="40" t="s">
        <v>76</v>
      </c>
      <c r="E110" s="91" t="s">
        <v>77</v>
      </c>
      <c r="F110" s="40" t="s">
        <v>51</v>
      </c>
      <c r="G110" s="40"/>
      <c r="H110" s="62" t="s">
        <v>52</v>
      </c>
      <c r="I110" s="57">
        <v>2024</v>
      </c>
      <c r="J110" s="57">
        <v>12</v>
      </c>
      <c r="K110" s="29">
        <v>45665</v>
      </c>
      <c r="L110" s="69"/>
      <c r="M110" s="68">
        <v>1.0355000000000001</v>
      </c>
      <c r="N110" s="68">
        <v>1.0827500000000001</v>
      </c>
      <c r="O110" s="68">
        <v>4.725E-2</v>
      </c>
      <c r="P110" s="68"/>
      <c r="Q110" s="100">
        <v>1</v>
      </c>
      <c r="R110" s="104">
        <f t="shared" ref="R110" si="74">Q110*M110</f>
        <v>1.0355000000000001</v>
      </c>
      <c r="S110" s="73">
        <v>58594</v>
      </c>
      <c r="T110" s="77">
        <f>S110+T111</f>
        <v>509170</v>
      </c>
      <c r="U110" s="78">
        <v>433248</v>
      </c>
      <c r="V110" s="78">
        <f t="shared" ref="V110:V111" si="75">U110-O110*T110</f>
        <v>409189.71750000003</v>
      </c>
      <c r="W110" s="40" t="s">
        <v>78</v>
      </c>
      <c r="X110" s="129" t="s">
        <v>82</v>
      </c>
      <c r="Y110" s="79">
        <v>14.4</v>
      </c>
      <c r="Z110" s="79"/>
      <c r="AA110" s="79"/>
      <c r="AB110" s="80"/>
      <c r="AC110" s="78">
        <f t="shared" si="69"/>
        <v>63442.653500000008</v>
      </c>
      <c r="AD110" s="83"/>
      <c r="AE110" s="77">
        <f t="shared" si="70"/>
        <v>843.75360000000001</v>
      </c>
      <c r="AF110" s="84"/>
    </row>
    <row r="111" spans="2:32" s="43" customFormat="1" hidden="1">
      <c r="B111" s="60" t="s">
        <v>8</v>
      </c>
      <c r="C111" s="40" t="s">
        <v>16</v>
      </c>
      <c r="D111" s="40" t="s">
        <v>76</v>
      </c>
      <c r="E111" s="91" t="s">
        <v>77</v>
      </c>
      <c r="F111" s="40" t="s">
        <v>51</v>
      </c>
      <c r="G111" s="40"/>
      <c r="H111" s="62" t="s">
        <v>52</v>
      </c>
      <c r="I111" s="57">
        <v>2024</v>
      </c>
      <c r="J111" s="57">
        <v>11</v>
      </c>
      <c r="K111" s="29">
        <v>45629</v>
      </c>
      <c r="L111" s="69"/>
      <c r="M111" s="68">
        <v>1.0355000000000001</v>
      </c>
      <c r="N111" s="68">
        <v>1.0827500000000001</v>
      </c>
      <c r="O111" s="68">
        <v>4.725E-2</v>
      </c>
      <c r="P111" s="68"/>
      <c r="Q111" s="100">
        <v>1</v>
      </c>
      <c r="R111" s="104">
        <f t="shared" si="2"/>
        <v>1.0355000000000001</v>
      </c>
      <c r="S111" s="73">
        <v>10268</v>
      </c>
      <c r="T111" s="77">
        <f>S111+T112</f>
        <v>450576</v>
      </c>
      <c r="U111" s="78">
        <v>433248</v>
      </c>
      <c r="V111" s="78">
        <f t="shared" si="75"/>
        <v>411958.28399999999</v>
      </c>
      <c r="W111" s="40" t="s">
        <v>78</v>
      </c>
      <c r="X111" s="129" t="s">
        <v>82</v>
      </c>
      <c r="Y111" s="79">
        <v>14.4</v>
      </c>
      <c r="Z111" s="79"/>
      <c r="AA111" s="79"/>
      <c r="AB111" s="80"/>
      <c r="AC111" s="78">
        <f t="shared" ref="AC111" si="76">N111*S111</f>
        <v>11117.677000000001</v>
      </c>
      <c r="AD111" s="83"/>
      <c r="AE111" s="77">
        <f t="shared" ref="AE111" si="77">S111*Y111/1000</f>
        <v>147.85920000000002</v>
      </c>
      <c r="AF111" s="84"/>
    </row>
    <row r="112" spans="2:32" s="43" customFormat="1" hidden="1">
      <c r="B112" s="60" t="s">
        <v>8</v>
      </c>
      <c r="C112" s="40" t="s">
        <v>16</v>
      </c>
      <c r="D112" s="40" t="s">
        <v>76</v>
      </c>
      <c r="E112" s="91" t="s">
        <v>77</v>
      </c>
      <c r="F112" s="40" t="s">
        <v>51</v>
      </c>
      <c r="G112" s="40"/>
      <c r="H112" s="62" t="s">
        <v>52</v>
      </c>
      <c r="I112" s="57">
        <v>2024</v>
      </c>
      <c r="J112" s="57">
        <v>10</v>
      </c>
      <c r="K112" s="29">
        <v>45601</v>
      </c>
      <c r="L112" s="69"/>
      <c r="M112" s="68">
        <v>1.0355000000000001</v>
      </c>
      <c r="N112" s="68">
        <v>1.0827500000000001</v>
      </c>
      <c r="O112" s="68">
        <v>4.725E-2</v>
      </c>
      <c r="P112" s="68"/>
      <c r="Q112" s="100">
        <v>1</v>
      </c>
      <c r="R112" s="104">
        <f t="shared" si="2"/>
        <v>1.0355000000000001</v>
      </c>
      <c r="S112" s="73">
        <v>146312</v>
      </c>
      <c r="T112" s="77">
        <f>S112+T113</f>
        <v>440308</v>
      </c>
      <c r="U112" s="78">
        <v>433248</v>
      </c>
      <c r="V112" s="78">
        <f t="shared" si="68"/>
        <v>412443.44699999999</v>
      </c>
      <c r="W112" s="40" t="s">
        <v>78</v>
      </c>
      <c r="X112" s="129" t="s">
        <v>82</v>
      </c>
      <c r="Y112" s="79">
        <v>14.4</v>
      </c>
      <c r="Z112" s="79"/>
      <c r="AA112" s="79"/>
      <c r="AB112" s="80"/>
      <c r="AC112" s="78">
        <f t="shared" si="69"/>
        <v>158419.31800000003</v>
      </c>
      <c r="AD112" s="83"/>
      <c r="AE112" s="77">
        <f t="shared" si="70"/>
        <v>2106.8928000000001</v>
      </c>
      <c r="AF112" s="84"/>
    </row>
    <row r="113" spans="2:32" s="43" customFormat="1" hidden="1">
      <c r="B113" s="17" t="s">
        <v>8</v>
      </c>
      <c r="C113" s="40" t="str">
        <f>VLOOKUP(B113,[1]Sheet1!$A:$B,2,0)</f>
        <v>MODI</v>
      </c>
      <c r="D113" s="40" t="s">
        <v>76</v>
      </c>
      <c r="E113" s="91" t="s">
        <v>77</v>
      </c>
      <c r="F113" s="40" t="s">
        <v>51</v>
      </c>
      <c r="G113" s="40"/>
      <c r="H113" s="40" t="s">
        <v>52</v>
      </c>
      <c r="I113" s="57">
        <v>2024</v>
      </c>
      <c r="J113" s="57">
        <v>9</v>
      </c>
      <c r="K113" s="29">
        <v>45597</v>
      </c>
      <c r="L113" s="69"/>
      <c r="M113" s="68">
        <v>1.0355000000000001</v>
      </c>
      <c r="N113" s="68">
        <v>1.0827500000000001</v>
      </c>
      <c r="O113" s="68">
        <v>4.725E-2</v>
      </c>
      <c r="P113" s="68">
        <f t="shared" ref="P113:P119" si="78">L113*O113</f>
        <v>0</v>
      </c>
      <c r="Q113" s="100">
        <v>1</v>
      </c>
      <c r="R113" s="104">
        <f t="shared" si="2"/>
        <v>1.0355000000000001</v>
      </c>
      <c r="S113" s="73">
        <v>102721</v>
      </c>
      <c r="T113" s="77">
        <v>293996</v>
      </c>
      <c r="U113" s="78">
        <v>433248</v>
      </c>
      <c r="V113" s="78">
        <f>U113-O113*T113</f>
        <v>419356.68900000001</v>
      </c>
      <c r="W113" s="40" t="s">
        <v>78</v>
      </c>
      <c r="X113" s="129" t="s">
        <v>82</v>
      </c>
      <c r="Y113" s="79">
        <v>14.4</v>
      </c>
      <c r="Z113" s="79"/>
      <c r="AA113" s="79"/>
      <c r="AB113" s="80"/>
      <c r="AC113" s="78">
        <f>N113*S113</f>
        <v>111221.16275</v>
      </c>
      <c r="AD113" s="83">
        <v>0</v>
      </c>
      <c r="AE113" s="77">
        <f>S113*Y113/1000</f>
        <v>1479.1824000000001</v>
      </c>
      <c r="AF113" s="85" t="s">
        <v>83</v>
      </c>
    </row>
    <row r="114" spans="2:32" s="43" customFormat="1" hidden="1">
      <c r="B114" s="17" t="s">
        <v>8</v>
      </c>
      <c r="C114" s="40" t="s">
        <v>16</v>
      </c>
      <c r="D114" s="40" t="s">
        <v>76</v>
      </c>
      <c r="E114" s="91" t="s">
        <v>77</v>
      </c>
      <c r="F114" s="40" t="s">
        <v>51</v>
      </c>
      <c r="G114" s="40"/>
      <c r="H114" s="40" t="s">
        <v>52</v>
      </c>
      <c r="I114" s="57">
        <v>2024</v>
      </c>
      <c r="J114" s="57">
        <v>8</v>
      </c>
      <c r="K114" s="29">
        <v>45597</v>
      </c>
      <c r="L114" s="69"/>
      <c r="M114" s="68">
        <v>1.0355000000000001</v>
      </c>
      <c r="N114" s="68">
        <v>1.0827500000000001</v>
      </c>
      <c r="O114" s="68">
        <v>4.725E-2</v>
      </c>
      <c r="P114" s="68">
        <f t="shared" si="78"/>
        <v>0</v>
      </c>
      <c r="Q114" s="100">
        <v>1</v>
      </c>
      <c r="R114" s="104">
        <f t="shared" si="2"/>
        <v>1.0355000000000001</v>
      </c>
      <c r="S114" s="73">
        <v>159000</v>
      </c>
      <c r="T114" s="77">
        <f>S114+T115</f>
        <v>191275</v>
      </c>
      <c r="U114" s="78">
        <v>433248</v>
      </c>
      <c r="V114" s="78">
        <f>U114-O114*T114</f>
        <v>424210.25624999998</v>
      </c>
      <c r="W114" s="40" t="s">
        <v>78</v>
      </c>
      <c r="X114" s="129" t="s">
        <v>82</v>
      </c>
      <c r="Y114" s="79">
        <v>14.4</v>
      </c>
      <c r="Z114" s="79"/>
      <c r="AA114" s="79"/>
      <c r="AB114" s="80"/>
      <c r="AC114" s="78">
        <f>N114*S114</f>
        <v>172157.25000000003</v>
      </c>
      <c r="AD114" s="83"/>
      <c r="AE114" s="77">
        <f>S114*Y114/1000</f>
        <v>2289.6</v>
      </c>
      <c r="AF114" s="85"/>
    </row>
    <row r="115" spans="2:32" s="43" customFormat="1" hidden="1">
      <c r="B115" s="17" t="s">
        <v>8</v>
      </c>
      <c r="C115" s="40" t="s">
        <v>16</v>
      </c>
      <c r="D115" s="40" t="s">
        <v>76</v>
      </c>
      <c r="E115" s="91" t="s">
        <v>77</v>
      </c>
      <c r="F115" s="40" t="s">
        <v>51</v>
      </c>
      <c r="G115" s="40"/>
      <c r="H115" s="40" t="s">
        <v>52</v>
      </c>
      <c r="I115" s="57">
        <v>2024</v>
      </c>
      <c r="J115" s="57">
        <v>7</v>
      </c>
      <c r="K115" s="29">
        <v>45597</v>
      </c>
      <c r="L115" s="69"/>
      <c r="M115" s="68">
        <v>1.0355000000000001</v>
      </c>
      <c r="N115" s="68">
        <v>1.0827500000000001</v>
      </c>
      <c r="O115" s="68">
        <v>4.725E-2</v>
      </c>
      <c r="P115" s="68">
        <f t="shared" si="78"/>
        <v>0</v>
      </c>
      <c r="Q115" s="100">
        <v>1</v>
      </c>
      <c r="R115" s="104">
        <f t="shared" si="2"/>
        <v>1.0355000000000001</v>
      </c>
      <c r="S115" s="73">
        <v>6900</v>
      </c>
      <c r="T115" s="77">
        <f>S115+T116</f>
        <v>32275</v>
      </c>
      <c r="U115" s="78">
        <v>433248</v>
      </c>
      <c r="V115" s="78">
        <f t="shared" ref="V115:V124" si="79">U115-O115*T115</f>
        <v>431723.00624999998</v>
      </c>
      <c r="W115" s="40" t="s">
        <v>78</v>
      </c>
      <c r="X115" s="129" t="s">
        <v>82</v>
      </c>
      <c r="Y115" s="79">
        <v>14.4</v>
      </c>
      <c r="Z115" s="79"/>
      <c r="AA115" s="79"/>
      <c r="AB115" s="80"/>
      <c r="AC115" s="78">
        <f t="shared" ref="AC115:AC124" si="80">N115*S115</f>
        <v>7470.9750000000004</v>
      </c>
      <c r="AD115" s="83"/>
      <c r="AE115" s="77">
        <f t="shared" ref="AE115:AE124" si="81">S115*Y115/1000</f>
        <v>99.36</v>
      </c>
      <c r="AF115" s="85"/>
    </row>
    <row r="116" spans="2:32" s="43" customFormat="1" hidden="1">
      <c r="B116" s="17" t="s">
        <v>8</v>
      </c>
      <c r="C116" s="40" t="s">
        <v>16</v>
      </c>
      <c r="D116" s="40" t="s">
        <v>76</v>
      </c>
      <c r="E116" s="91" t="s">
        <v>77</v>
      </c>
      <c r="F116" s="40" t="s">
        <v>51</v>
      </c>
      <c r="G116" s="40"/>
      <c r="H116" s="40" t="s">
        <v>52</v>
      </c>
      <c r="I116" s="57">
        <v>2024</v>
      </c>
      <c r="J116" s="57">
        <v>5</v>
      </c>
      <c r="K116" s="29">
        <v>45597</v>
      </c>
      <c r="L116" s="69"/>
      <c r="M116" s="68">
        <v>1.0355000000000001</v>
      </c>
      <c r="N116" s="68">
        <v>1.0827500000000001</v>
      </c>
      <c r="O116" s="68">
        <v>4.725E-2</v>
      </c>
      <c r="P116" s="68">
        <f t="shared" si="78"/>
        <v>0</v>
      </c>
      <c r="Q116" s="100">
        <v>1</v>
      </c>
      <c r="R116" s="104">
        <f t="shared" si="2"/>
        <v>1.0355000000000001</v>
      </c>
      <c r="S116" s="73">
        <v>15335</v>
      </c>
      <c r="T116" s="77">
        <f>S116+T117</f>
        <v>25375</v>
      </c>
      <c r="U116" s="78">
        <v>433248</v>
      </c>
      <c r="V116" s="78">
        <f t="shared" si="79"/>
        <v>432049.03125</v>
      </c>
      <c r="W116" s="40" t="s">
        <v>78</v>
      </c>
      <c r="X116" s="129" t="s">
        <v>82</v>
      </c>
      <c r="Y116" s="79">
        <v>14.4</v>
      </c>
      <c r="Z116" s="79"/>
      <c r="AA116" s="79"/>
      <c r="AB116" s="80"/>
      <c r="AC116" s="78">
        <f t="shared" si="80"/>
        <v>16603.971250000002</v>
      </c>
      <c r="AD116" s="83"/>
      <c r="AE116" s="77">
        <f t="shared" si="81"/>
        <v>220.82400000000001</v>
      </c>
      <c r="AF116" s="85"/>
    </row>
    <row r="117" spans="2:32" s="43" customFormat="1" hidden="1">
      <c r="B117" s="17" t="s">
        <v>8</v>
      </c>
      <c r="C117" s="40" t="s">
        <v>16</v>
      </c>
      <c r="D117" s="40" t="s">
        <v>76</v>
      </c>
      <c r="E117" s="91" t="s">
        <v>77</v>
      </c>
      <c r="F117" s="40" t="s">
        <v>51</v>
      </c>
      <c r="G117" s="40"/>
      <c r="H117" s="40" t="s">
        <v>52</v>
      </c>
      <c r="I117" s="57">
        <v>2024</v>
      </c>
      <c r="J117" s="57">
        <v>4</v>
      </c>
      <c r="K117" s="29">
        <v>45597</v>
      </c>
      <c r="L117" s="69"/>
      <c r="M117" s="68">
        <v>1.0355000000000001</v>
      </c>
      <c r="N117" s="68">
        <v>1.0827500000000001</v>
      </c>
      <c r="O117" s="68">
        <v>4.725E-2</v>
      </c>
      <c r="P117" s="68">
        <f t="shared" si="78"/>
        <v>0</v>
      </c>
      <c r="Q117" s="100">
        <v>1</v>
      </c>
      <c r="R117" s="104">
        <f t="shared" si="2"/>
        <v>1.0355000000000001</v>
      </c>
      <c r="S117" s="73">
        <v>1040</v>
      </c>
      <c r="T117" s="77">
        <f>S117+T118</f>
        <v>10040</v>
      </c>
      <c r="U117" s="78">
        <v>433248</v>
      </c>
      <c r="V117" s="78">
        <f t="shared" si="79"/>
        <v>432773.61</v>
      </c>
      <c r="W117" s="40" t="s">
        <v>78</v>
      </c>
      <c r="X117" s="129" t="s">
        <v>82</v>
      </c>
      <c r="Y117" s="79">
        <v>14.4</v>
      </c>
      <c r="Z117" s="79"/>
      <c r="AA117" s="79"/>
      <c r="AB117" s="80"/>
      <c r="AC117" s="78">
        <f t="shared" si="80"/>
        <v>1126.0600000000002</v>
      </c>
      <c r="AD117" s="83"/>
      <c r="AE117" s="77">
        <f t="shared" si="81"/>
        <v>14.976000000000001</v>
      </c>
      <c r="AF117" s="85"/>
    </row>
    <row r="118" spans="2:32" s="43" customFormat="1" hidden="1">
      <c r="B118" s="17" t="s">
        <v>8</v>
      </c>
      <c r="C118" s="40" t="s">
        <v>16</v>
      </c>
      <c r="D118" s="40" t="s">
        <v>76</v>
      </c>
      <c r="E118" s="91" t="s">
        <v>77</v>
      </c>
      <c r="F118" s="40" t="s">
        <v>51</v>
      </c>
      <c r="G118" s="40"/>
      <c r="H118" s="40" t="s">
        <v>52</v>
      </c>
      <c r="I118" s="57">
        <v>2024</v>
      </c>
      <c r="J118" s="57">
        <v>3</v>
      </c>
      <c r="K118" s="29">
        <v>45597</v>
      </c>
      <c r="L118" s="69"/>
      <c r="M118" s="68">
        <v>1.0355000000000001</v>
      </c>
      <c r="N118" s="68">
        <v>1.0827500000000001</v>
      </c>
      <c r="O118" s="68">
        <v>4.725E-2</v>
      </c>
      <c r="P118" s="68">
        <f t="shared" si="78"/>
        <v>0</v>
      </c>
      <c r="Q118" s="100">
        <v>1</v>
      </c>
      <c r="R118" s="104">
        <f t="shared" ref="R118:R218" si="82">Q118*M118</f>
        <v>1.0355000000000001</v>
      </c>
      <c r="S118" s="73">
        <v>8000</v>
      </c>
      <c r="T118" s="77">
        <f>S118+T119</f>
        <v>9000</v>
      </c>
      <c r="U118" s="78">
        <v>433248</v>
      </c>
      <c r="V118" s="78">
        <f t="shared" si="79"/>
        <v>432822.75</v>
      </c>
      <c r="W118" s="40" t="s">
        <v>78</v>
      </c>
      <c r="X118" s="129" t="s">
        <v>82</v>
      </c>
      <c r="Y118" s="79">
        <v>14.4</v>
      </c>
      <c r="Z118" s="79"/>
      <c r="AA118" s="79"/>
      <c r="AB118" s="80"/>
      <c r="AC118" s="78">
        <f t="shared" si="80"/>
        <v>8662</v>
      </c>
      <c r="AD118" s="83"/>
      <c r="AE118" s="77">
        <f t="shared" si="81"/>
        <v>115.2</v>
      </c>
      <c r="AF118" s="85"/>
    </row>
    <row r="119" spans="2:32" s="43" customFormat="1" hidden="1">
      <c r="B119" s="17" t="s">
        <v>8</v>
      </c>
      <c r="C119" s="40" t="s">
        <v>16</v>
      </c>
      <c r="D119" s="40" t="s">
        <v>76</v>
      </c>
      <c r="E119" s="91" t="s">
        <v>77</v>
      </c>
      <c r="F119" s="40" t="s">
        <v>51</v>
      </c>
      <c r="G119" s="40"/>
      <c r="H119" s="40" t="s">
        <v>52</v>
      </c>
      <c r="I119" s="57">
        <v>2024</v>
      </c>
      <c r="J119" s="57">
        <v>2</v>
      </c>
      <c r="K119" s="29">
        <v>45597</v>
      </c>
      <c r="L119" s="69"/>
      <c r="M119" s="68">
        <v>1.0355000000000001</v>
      </c>
      <c r="N119" s="68">
        <v>1.0827500000000001</v>
      </c>
      <c r="O119" s="68">
        <v>4.725E-2</v>
      </c>
      <c r="P119" s="68">
        <f t="shared" si="78"/>
        <v>0</v>
      </c>
      <c r="Q119" s="100">
        <v>1</v>
      </c>
      <c r="R119" s="104">
        <f t="shared" si="82"/>
        <v>1.0355000000000001</v>
      </c>
      <c r="S119" s="73">
        <v>1000</v>
      </c>
      <c r="T119" s="77">
        <f>S119</f>
        <v>1000</v>
      </c>
      <c r="U119" s="78">
        <v>433248</v>
      </c>
      <c r="V119" s="78">
        <f t="shared" si="79"/>
        <v>433200.75</v>
      </c>
      <c r="W119" s="40" t="s">
        <v>78</v>
      </c>
      <c r="X119" s="129" t="s">
        <v>82</v>
      </c>
      <c r="Y119" s="79">
        <v>14.4</v>
      </c>
      <c r="Z119" s="79"/>
      <c r="AA119" s="79"/>
      <c r="AB119" s="80"/>
      <c r="AC119" s="78">
        <f t="shared" si="80"/>
        <v>1082.75</v>
      </c>
      <c r="AD119" s="83"/>
      <c r="AE119" s="77">
        <f t="shared" si="81"/>
        <v>14.4</v>
      </c>
      <c r="AF119" s="85"/>
    </row>
    <row r="120" spans="2:32" s="43" customFormat="1">
      <c r="B120" s="17" t="s">
        <v>7</v>
      </c>
      <c r="C120" s="40" t="s">
        <v>16</v>
      </c>
      <c r="D120" s="40" t="s">
        <v>76</v>
      </c>
      <c r="E120" s="91" t="s">
        <v>84</v>
      </c>
      <c r="F120" s="40" t="s">
        <v>51</v>
      </c>
      <c r="G120" s="40"/>
      <c r="H120" s="40" t="s">
        <v>52</v>
      </c>
      <c r="I120" s="57">
        <v>2025</v>
      </c>
      <c r="J120" s="57">
        <v>2</v>
      </c>
      <c r="K120" s="29">
        <v>45722</v>
      </c>
      <c r="L120" s="69"/>
      <c r="M120" s="68">
        <v>0.71009999999999995</v>
      </c>
      <c r="N120" s="68">
        <v>0.744475</v>
      </c>
      <c r="O120" s="68">
        <v>3.4375000000000003E-2</v>
      </c>
      <c r="P120" s="68"/>
      <c r="Q120" s="100">
        <v>1</v>
      </c>
      <c r="R120" s="104">
        <f t="shared" ref="R120" si="83">Q120*M120</f>
        <v>0.71009999999999995</v>
      </c>
      <c r="S120" s="73">
        <v>0</v>
      </c>
      <c r="T120" s="144">
        <f>S120+T121</f>
        <v>67500</v>
      </c>
      <c r="U120" s="136">
        <v>1100000</v>
      </c>
      <c r="V120" s="136">
        <f t="shared" si="79"/>
        <v>1097679.6875</v>
      </c>
      <c r="W120" s="40" t="s">
        <v>78</v>
      </c>
      <c r="X120" s="129" t="s">
        <v>82</v>
      </c>
      <c r="Y120" s="79">
        <v>10.5</v>
      </c>
      <c r="Z120" s="79"/>
      <c r="AA120" s="79"/>
      <c r="AB120" s="80"/>
      <c r="AC120" s="78">
        <f t="shared" ref="AC120" si="84">N120*S120</f>
        <v>0</v>
      </c>
      <c r="AD120" s="83"/>
      <c r="AE120" s="77">
        <f t="shared" ref="AE120" si="85">S120*Y120/1000</f>
        <v>0</v>
      </c>
      <c r="AF120" s="85"/>
    </row>
    <row r="121" spans="2:32" s="43" customFormat="1" hidden="1">
      <c r="B121" s="17" t="s">
        <v>7</v>
      </c>
      <c r="C121" s="40" t="s">
        <v>16</v>
      </c>
      <c r="D121" s="40" t="s">
        <v>76</v>
      </c>
      <c r="E121" s="91" t="s">
        <v>84</v>
      </c>
      <c r="F121" s="40" t="s">
        <v>51</v>
      </c>
      <c r="G121" s="40"/>
      <c r="H121" s="40" t="s">
        <v>52</v>
      </c>
      <c r="I121" s="57">
        <v>2025</v>
      </c>
      <c r="J121" s="57">
        <v>1</v>
      </c>
      <c r="K121" s="29">
        <v>45705</v>
      </c>
      <c r="L121" s="69"/>
      <c r="M121" s="68">
        <v>0.71009999999999995</v>
      </c>
      <c r="N121" s="68">
        <v>0.744475</v>
      </c>
      <c r="O121" s="68">
        <v>3.4375000000000003E-2</v>
      </c>
      <c r="P121" s="68"/>
      <c r="Q121" s="100">
        <v>1</v>
      </c>
      <c r="R121" s="104">
        <f t="shared" si="82"/>
        <v>0.71009999999999995</v>
      </c>
      <c r="S121" s="73">
        <v>0</v>
      </c>
      <c r="T121" s="77">
        <f>S121+T122</f>
        <v>67500</v>
      </c>
      <c r="U121" s="78">
        <v>1100000</v>
      </c>
      <c r="V121" s="78">
        <f t="shared" ref="V121:V122" si="86">U121-O121*T121</f>
        <v>1097679.6875</v>
      </c>
      <c r="W121" s="40" t="s">
        <v>78</v>
      </c>
      <c r="X121" s="129" t="s">
        <v>82</v>
      </c>
      <c r="Y121" s="79">
        <v>10.5</v>
      </c>
      <c r="Z121" s="79"/>
      <c r="AA121" s="79"/>
      <c r="AB121" s="80"/>
      <c r="AC121" s="78">
        <f t="shared" si="80"/>
        <v>0</v>
      </c>
      <c r="AD121" s="83"/>
      <c r="AE121" s="77">
        <f t="shared" si="81"/>
        <v>0</v>
      </c>
      <c r="AF121" s="85"/>
    </row>
    <row r="122" spans="2:32" s="43" customFormat="1" hidden="1">
      <c r="B122" s="17" t="s">
        <v>7</v>
      </c>
      <c r="C122" s="40" t="s">
        <v>16</v>
      </c>
      <c r="D122" s="40" t="s">
        <v>76</v>
      </c>
      <c r="E122" s="91" t="s">
        <v>84</v>
      </c>
      <c r="F122" s="40" t="s">
        <v>51</v>
      </c>
      <c r="G122" s="40"/>
      <c r="H122" s="40" t="s">
        <v>52</v>
      </c>
      <c r="I122" s="57">
        <v>2024</v>
      </c>
      <c r="J122" s="57">
        <v>12</v>
      </c>
      <c r="K122" s="29">
        <v>45665</v>
      </c>
      <c r="L122" s="69"/>
      <c r="M122" s="68">
        <v>0.71009999999999995</v>
      </c>
      <c r="N122" s="68">
        <v>0.744475</v>
      </c>
      <c r="O122" s="68">
        <v>3.4375000000000003E-2</v>
      </c>
      <c r="P122" s="68"/>
      <c r="Q122" s="100">
        <v>1</v>
      </c>
      <c r="R122" s="104">
        <f t="shared" ref="R122" si="87">Q122*M122</f>
        <v>0.71009999999999995</v>
      </c>
      <c r="S122" s="73">
        <v>0</v>
      </c>
      <c r="T122" s="77">
        <f>S122+T123</f>
        <v>67500</v>
      </c>
      <c r="U122" s="78">
        <v>1100000</v>
      </c>
      <c r="V122" s="78">
        <f t="shared" si="86"/>
        <v>1097679.6875</v>
      </c>
      <c r="W122" s="40" t="s">
        <v>78</v>
      </c>
      <c r="X122" s="129" t="s">
        <v>82</v>
      </c>
      <c r="Y122" s="79">
        <v>10.5</v>
      </c>
      <c r="Z122" s="79"/>
      <c r="AA122" s="79"/>
      <c r="AB122" s="80"/>
      <c r="AC122" s="78">
        <f t="shared" si="80"/>
        <v>0</v>
      </c>
      <c r="AD122" s="83"/>
      <c r="AE122" s="77">
        <f t="shared" si="81"/>
        <v>0</v>
      </c>
      <c r="AF122" s="85"/>
    </row>
    <row r="123" spans="2:32" s="43" customFormat="1" hidden="1">
      <c r="B123" s="17" t="s">
        <v>7</v>
      </c>
      <c r="C123" s="40" t="s">
        <v>16</v>
      </c>
      <c r="D123" s="40" t="s">
        <v>76</v>
      </c>
      <c r="E123" s="91" t="s">
        <v>84</v>
      </c>
      <c r="F123" s="40" t="s">
        <v>51</v>
      </c>
      <c r="G123" s="40"/>
      <c r="H123" s="40" t="s">
        <v>52</v>
      </c>
      <c r="I123" s="57">
        <v>2024</v>
      </c>
      <c r="J123" s="57">
        <v>11</v>
      </c>
      <c r="K123" s="29">
        <v>45629</v>
      </c>
      <c r="L123" s="69"/>
      <c r="M123" s="68">
        <v>0.71009999999999995</v>
      </c>
      <c r="N123" s="68">
        <v>0.744475</v>
      </c>
      <c r="O123" s="68">
        <v>3.4375000000000003E-2</v>
      </c>
      <c r="P123" s="68"/>
      <c r="Q123" s="100">
        <v>1</v>
      </c>
      <c r="R123" s="104">
        <f t="shared" si="82"/>
        <v>0.71009999999999995</v>
      </c>
      <c r="S123" s="73">
        <v>0</v>
      </c>
      <c r="T123" s="77">
        <f>S123+T124</f>
        <v>67500</v>
      </c>
      <c r="U123" s="78">
        <v>1100000</v>
      </c>
      <c r="V123" s="78">
        <f t="shared" ref="V123" si="88">U123-O123*T123</f>
        <v>1097679.6875</v>
      </c>
      <c r="W123" s="40" t="s">
        <v>78</v>
      </c>
      <c r="X123" s="129" t="s">
        <v>82</v>
      </c>
      <c r="Y123" s="79">
        <v>10.5</v>
      </c>
      <c r="Z123" s="79"/>
      <c r="AA123" s="79"/>
      <c r="AB123" s="80"/>
      <c r="AC123" s="78">
        <f t="shared" ref="AC123" si="89">N123*S123</f>
        <v>0</v>
      </c>
      <c r="AD123" s="83"/>
      <c r="AE123" s="77">
        <f t="shared" ref="AE123" si="90">S123*Y123/1000</f>
        <v>0</v>
      </c>
      <c r="AF123" s="85"/>
    </row>
    <row r="124" spans="2:32" s="43" customFormat="1" hidden="1">
      <c r="B124" s="17" t="s">
        <v>7</v>
      </c>
      <c r="C124" s="40" t="s">
        <v>16</v>
      </c>
      <c r="D124" s="40" t="s">
        <v>76</v>
      </c>
      <c r="E124" s="91" t="s">
        <v>84</v>
      </c>
      <c r="F124" s="40" t="s">
        <v>51</v>
      </c>
      <c r="G124" s="40"/>
      <c r="H124" s="40" t="s">
        <v>52</v>
      </c>
      <c r="I124" s="57">
        <v>2024</v>
      </c>
      <c r="J124" s="57">
        <v>10</v>
      </c>
      <c r="K124" s="29">
        <v>45601</v>
      </c>
      <c r="L124" s="69"/>
      <c r="M124" s="68">
        <v>0.71009999999999995</v>
      </c>
      <c r="N124" s="68">
        <v>0.744475</v>
      </c>
      <c r="O124" s="68">
        <v>3.4375000000000003E-2</v>
      </c>
      <c r="P124" s="68"/>
      <c r="Q124" s="100">
        <v>1</v>
      </c>
      <c r="R124" s="104">
        <f t="shared" si="82"/>
        <v>0.71009999999999995</v>
      </c>
      <c r="S124" s="73">
        <v>65000</v>
      </c>
      <c r="T124" s="77">
        <f>S124+T125</f>
        <v>67500</v>
      </c>
      <c r="U124" s="78">
        <v>1100000</v>
      </c>
      <c r="V124" s="78">
        <f t="shared" si="79"/>
        <v>1097679.6875</v>
      </c>
      <c r="W124" s="40" t="s">
        <v>78</v>
      </c>
      <c r="X124" s="129" t="s">
        <v>82</v>
      </c>
      <c r="Y124" s="79">
        <v>10.5</v>
      </c>
      <c r="Z124" s="79"/>
      <c r="AA124" s="79"/>
      <c r="AB124" s="80"/>
      <c r="AC124" s="78">
        <f t="shared" si="80"/>
        <v>48390.875</v>
      </c>
      <c r="AD124" s="83"/>
      <c r="AE124" s="77">
        <f t="shared" si="81"/>
        <v>682.5</v>
      </c>
      <c r="AF124" s="85"/>
    </row>
    <row r="125" spans="2:32" s="43" customFormat="1" hidden="1">
      <c r="B125" s="60" t="s">
        <v>7</v>
      </c>
      <c r="C125" s="40" t="str">
        <f>VLOOKUP(B125,[1]Sheet1!$A:$B,2,0)</f>
        <v>MODI</v>
      </c>
      <c r="D125" s="40" t="s">
        <v>76</v>
      </c>
      <c r="E125" s="91" t="s">
        <v>84</v>
      </c>
      <c r="F125" s="40" t="s">
        <v>51</v>
      </c>
      <c r="G125" s="40"/>
      <c r="H125" s="62" t="s">
        <v>52</v>
      </c>
      <c r="I125" s="57">
        <v>2024</v>
      </c>
      <c r="J125" s="57">
        <v>9</v>
      </c>
      <c r="K125" s="29">
        <v>45597</v>
      </c>
      <c r="L125" s="69"/>
      <c r="M125" s="68">
        <v>0.71009999999999995</v>
      </c>
      <c r="N125" s="68">
        <v>0.744475</v>
      </c>
      <c r="O125" s="68">
        <v>3.4375000000000003E-2</v>
      </c>
      <c r="P125" s="68">
        <f>L125*O125</f>
        <v>0</v>
      </c>
      <c r="Q125" s="100">
        <v>1</v>
      </c>
      <c r="R125" s="104">
        <f t="shared" si="82"/>
        <v>0.71009999999999995</v>
      </c>
      <c r="S125" s="73">
        <v>2500</v>
      </c>
      <c r="T125" s="77">
        <v>2500</v>
      </c>
      <c r="U125" s="78">
        <v>1100000</v>
      </c>
      <c r="V125" s="78">
        <f t="shared" ref="V125:V136" si="91">U125-O125*T125</f>
        <v>1099914.0625</v>
      </c>
      <c r="W125" s="40" t="s">
        <v>78</v>
      </c>
      <c r="X125" s="129" t="s">
        <v>82</v>
      </c>
      <c r="Y125" s="79">
        <v>10.5</v>
      </c>
      <c r="Z125" s="79"/>
      <c r="AA125" s="79"/>
      <c r="AB125" s="80"/>
      <c r="AC125" s="78">
        <f t="shared" ref="AC125:AC136" si="92">N125*S125</f>
        <v>1861.1875</v>
      </c>
      <c r="AD125" s="83">
        <v>0</v>
      </c>
      <c r="AE125" s="77">
        <f t="shared" ref="AE125:AE136" si="93">S125*Y125/1000</f>
        <v>26.25</v>
      </c>
      <c r="AF125" s="84"/>
    </row>
    <row r="126" spans="2:32" s="43" customFormat="1">
      <c r="B126" s="60" t="s">
        <v>7</v>
      </c>
      <c r="C126" s="40" t="str">
        <f>VLOOKUP(B126,[1]Sheet1!$A:$B,2,0)</f>
        <v>MODI</v>
      </c>
      <c r="D126" s="40" t="s">
        <v>85</v>
      </c>
      <c r="E126" s="91" t="s">
        <v>86</v>
      </c>
      <c r="F126" s="40" t="s">
        <v>51</v>
      </c>
      <c r="G126" s="40" t="s">
        <v>8</v>
      </c>
      <c r="H126" s="62" t="s">
        <v>52</v>
      </c>
      <c r="I126" s="57">
        <v>2025</v>
      </c>
      <c r="J126" s="57">
        <v>2</v>
      </c>
      <c r="K126" s="29">
        <v>45722</v>
      </c>
      <c r="L126" s="69"/>
      <c r="M126" s="68">
        <v>0.13009999999999999</v>
      </c>
      <c r="N126" s="68">
        <v>0.15353749999999999</v>
      </c>
      <c r="O126" s="68">
        <v>2.34375E-2</v>
      </c>
      <c r="P126" s="68"/>
      <c r="Q126" s="100">
        <v>1</v>
      </c>
      <c r="R126" s="104">
        <f t="shared" ref="R126" si="94">Q126*M126</f>
        <v>0.13009999999999999</v>
      </c>
      <c r="S126" s="73">
        <v>0</v>
      </c>
      <c r="T126" s="144">
        <f>S126+T127</f>
        <v>2681460</v>
      </c>
      <c r="U126" s="136">
        <v>750000</v>
      </c>
      <c r="V126" s="136">
        <f t="shared" ref="V126:V127" si="95">U126-O126*T126</f>
        <v>687153.28125</v>
      </c>
      <c r="W126" s="40" t="s">
        <v>78</v>
      </c>
      <c r="X126" s="129" t="s">
        <v>87</v>
      </c>
      <c r="Y126" s="79">
        <v>1.2</v>
      </c>
      <c r="Z126" s="79"/>
      <c r="AA126" s="79"/>
      <c r="AB126" s="80"/>
      <c r="AC126" s="78">
        <f t="shared" si="92"/>
        <v>0</v>
      </c>
      <c r="AD126" s="83">
        <v>0</v>
      </c>
      <c r="AE126" s="77">
        <f t="shared" si="93"/>
        <v>0</v>
      </c>
      <c r="AF126" s="84"/>
    </row>
    <row r="127" spans="2:32" s="43" customFormat="1" hidden="1">
      <c r="B127" s="60" t="s">
        <v>7</v>
      </c>
      <c r="C127" s="40" t="str">
        <f>VLOOKUP(B127,[1]Sheet1!$A:$B,2,0)</f>
        <v>MODI</v>
      </c>
      <c r="D127" s="40" t="s">
        <v>85</v>
      </c>
      <c r="E127" s="91" t="s">
        <v>86</v>
      </c>
      <c r="F127" s="40" t="s">
        <v>51</v>
      </c>
      <c r="G127" s="40" t="s">
        <v>8</v>
      </c>
      <c r="H127" s="62" t="s">
        <v>52</v>
      </c>
      <c r="I127" s="57">
        <v>2025</v>
      </c>
      <c r="J127" s="57">
        <v>1</v>
      </c>
      <c r="K127" s="29">
        <v>45705</v>
      </c>
      <c r="L127" s="69"/>
      <c r="M127" s="68">
        <v>0.13009999999999999</v>
      </c>
      <c r="N127" s="68">
        <v>0.15353749999999999</v>
      </c>
      <c r="O127" s="68">
        <v>2.34375E-2</v>
      </c>
      <c r="P127" s="68"/>
      <c r="Q127" s="100">
        <v>1</v>
      </c>
      <c r="R127" s="104">
        <f t="shared" si="82"/>
        <v>0.13009999999999999</v>
      </c>
      <c r="S127" s="73">
        <v>0</v>
      </c>
      <c r="T127" s="77">
        <f>S127+T128</f>
        <v>2681460</v>
      </c>
      <c r="U127" s="78">
        <v>750000</v>
      </c>
      <c r="V127" s="78">
        <f t="shared" si="95"/>
        <v>687153.28125</v>
      </c>
      <c r="W127" s="40" t="s">
        <v>78</v>
      </c>
      <c r="X127" s="129" t="s">
        <v>87</v>
      </c>
      <c r="Y127" s="79">
        <v>1.2</v>
      </c>
      <c r="Z127" s="79"/>
      <c r="AA127" s="79"/>
      <c r="AB127" s="80"/>
      <c r="AC127" s="78">
        <f t="shared" ref="AC127" si="96">N127*S127</f>
        <v>0</v>
      </c>
      <c r="AD127" s="83">
        <v>0</v>
      </c>
      <c r="AE127" s="77">
        <f t="shared" ref="AE127" si="97">S127*Y127/1000</f>
        <v>0</v>
      </c>
      <c r="AF127" s="84"/>
    </row>
    <row r="128" spans="2:32" s="43" customFormat="1" hidden="1">
      <c r="B128" s="60" t="s">
        <v>7</v>
      </c>
      <c r="C128" s="40" t="str">
        <f>VLOOKUP(B128,[1]Sheet1!$A:$B,2,0)</f>
        <v>MODI</v>
      </c>
      <c r="D128" s="40" t="s">
        <v>85</v>
      </c>
      <c r="E128" s="91" t="s">
        <v>86</v>
      </c>
      <c r="F128" s="40" t="s">
        <v>51</v>
      </c>
      <c r="G128" s="40" t="s">
        <v>8</v>
      </c>
      <c r="H128" s="62" t="s">
        <v>52</v>
      </c>
      <c r="I128" s="57">
        <v>2024</v>
      </c>
      <c r="J128" s="57">
        <v>12</v>
      </c>
      <c r="K128" s="29">
        <v>45665</v>
      </c>
      <c r="L128" s="69"/>
      <c r="M128" s="68">
        <v>0.13009999999999999</v>
      </c>
      <c r="N128" s="68">
        <v>0.15353749999999999</v>
      </c>
      <c r="O128" s="68">
        <v>2.34375E-2</v>
      </c>
      <c r="P128" s="68"/>
      <c r="Q128" s="100">
        <v>1</v>
      </c>
      <c r="R128" s="104">
        <f t="shared" ref="R128" si="98">Q128*M128</f>
        <v>0.13009999999999999</v>
      </c>
      <c r="S128" s="73">
        <v>227460</v>
      </c>
      <c r="T128" s="77">
        <f>S128+T129</f>
        <v>2681460</v>
      </c>
      <c r="U128" s="78">
        <v>750000</v>
      </c>
      <c r="V128" s="78">
        <f t="shared" si="91"/>
        <v>687153.28125</v>
      </c>
      <c r="W128" s="40" t="s">
        <v>78</v>
      </c>
      <c r="X128" s="129" t="s">
        <v>87</v>
      </c>
      <c r="Y128" s="79">
        <v>1.2</v>
      </c>
      <c r="Z128" s="79"/>
      <c r="AA128" s="79"/>
      <c r="AB128" s="80"/>
      <c r="AC128" s="78">
        <f t="shared" si="92"/>
        <v>34923.639750000002</v>
      </c>
      <c r="AD128" s="83">
        <v>0</v>
      </c>
      <c r="AE128" s="77">
        <f t="shared" si="93"/>
        <v>272.952</v>
      </c>
      <c r="AF128" s="84"/>
    </row>
    <row r="129" spans="2:32" s="43" customFormat="1" hidden="1">
      <c r="B129" s="60" t="s">
        <v>7</v>
      </c>
      <c r="C129" s="40" t="str">
        <f>VLOOKUP(B129,[1]Sheet1!$A:$B,2,0)</f>
        <v>MODI</v>
      </c>
      <c r="D129" s="40" t="s">
        <v>85</v>
      </c>
      <c r="E129" s="91" t="s">
        <v>86</v>
      </c>
      <c r="F129" s="40" t="s">
        <v>51</v>
      </c>
      <c r="G129" s="40" t="s">
        <v>8</v>
      </c>
      <c r="H129" s="62" t="s">
        <v>52</v>
      </c>
      <c r="I129" s="57">
        <v>2024</v>
      </c>
      <c r="J129" s="57">
        <v>11</v>
      </c>
      <c r="K129" s="29">
        <v>45629</v>
      </c>
      <c r="L129" s="69"/>
      <c r="M129" s="68">
        <v>0.13009999999999999</v>
      </c>
      <c r="N129" s="68">
        <v>0.15353749999999999</v>
      </c>
      <c r="O129" s="68">
        <v>2.34375E-2</v>
      </c>
      <c r="P129" s="68"/>
      <c r="Q129" s="100">
        <v>1</v>
      </c>
      <c r="R129" s="104">
        <f t="shared" si="82"/>
        <v>0.13009999999999999</v>
      </c>
      <c r="S129" s="73">
        <v>861600</v>
      </c>
      <c r="T129" s="77">
        <f>S129+T130</f>
        <v>2454000</v>
      </c>
      <c r="U129" s="78">
        <v>750000</v>
      </c>
      <c r="V129" s="78">
        <f t="shared" ref="V129" si="99">U129-O129*T129</f>
        <v>692484.375</v>
      </c>
      <c r="W129" s="40" t="s">
        <v>78</v>
      </c>
      <c r="X129" s="129" t="s">
        <v>87</v>
      </c>
      <c r="Y129" s="79">
        <v>1.2</v>
      </c>
      <c r="Z129" s="79"/>
      <c r="AA129" s="79"/>
      <c r="AB129" s="80"/>
      <c r="AC129" s="78">
        <f t="shared" ref="AC129" si="100">N129*S129</f>
        <v>132287.91</v>
      </c>
      <c r="AD129" s="83">
        <v>0</v>
      </c>
      <c r="AE129" s="77">
        <f t="shared" ref="AE129" si="101">S129*Y129/1000</f>
        <v>1033.92</v>
      </c>
      <c r="AF129" s="84"/>
    </row>
    <row r="130" spans="2:32" s="43" customFormat="1" hidden="1">
      <c r="B130" s="60" t="s">
        <v>7</v>
      </c>
      <c r="C130" s="40" t="str">
        <f>VLOOKUP(B130,[1]Sheet1!$A:$B,2,0)</f>
        <v>MODI</v>
      </c>
      <c r="D130" s="40" t="s">
        <v>85</v>
      </c>
      <c r="E130" s="91" t="s">
        <v>86</v>
      </c>
      <c r="F130" s="40" t="s">
        <v>51</v>
      </c>
      <c r="G130" s="40" t="s">
        <v>8</v>
      </c>
      <c r="H130" s="62" t="s">
        <v>52</v>
      </c>
      <c r="I130" s="57">
        <v>2024</v>
      </c>
      <c r="J130" s="57">
        <v>9</v>
      </c>
      <c r="K130" s="29">
        <v>45597</v>
      </c>
      <c r="L130" s="69"/>
      <c r="M130" s="68">
        <v>0.13009999999999999</v>
      </c>
      <c r="N130" s="68">
        <v>0.15353749999999999</v>
      </c>
      <c r="O130" s="68">
        <v>2.34375E-2</v>
      </c>
      <c r="P130" s="68">
        <f>L130*O130</f>
        <v>0</v>
      </c>
      <c r="Q130" s="100">
        <v>1</v>
      </c>
      <c r="R130" s="104">
        <f t="shared" si="82"/>
        <v>0.13009999999999999</v>
      </c>
      <c r="S130" s="73">
        <v>1228700</v>
      </c>
      <c r="T130" s="77">
        <v>1592400</v>
      </c>
      <c r="U130" s="78">
        <v>750000</v>
      </c>
      <c r="V130" s="78">
        <f t="shared" si="91"/>
        <v>712678.125</v>
      </c>
      <c r="W130" s="40" t="s">
        <v>78</v>
      </c>
      <c r="X130" s="129" t="s">
        <v>87</v>
      </c>
      <c r="Y130" s="79">
        <v>1.2</v>
      </c>
      <c r="Z130" s="79"/>
      <c r="AA130" s="79"/>
      <c r="AB130" s="80"/>
      <c r="AC130" s="78">
        <f t="shared" si="92"/>
        <v>188651.52625</v>
      </c>
      <c r="AD130" s="83">
        <v>0</v>
      </c>
      <c r="AE130" s="77">
        <f t="shared" si="93"/>
        <v>1474.44</v>
      </c>
      <c r="AF130" s="84"/>
    </row>
    <row r="131" spans="2:32" s="43" customFormat="1" hidden="1">
      <c r="B131" s="60" t="s">
        <v>7</v>
      </c>
      <c r="C131" s="40" t="s">
        <v>16</v>
      </c>
      <c r="D131" s="40" t="s">
        <v>85</v>
      </c>
      <c r="E131" s="91" t="s">
        <v>86</v>
      </c>
      <c r="F131" s="40" t="s">
        <v>51</v>
      </c>
      <c r="G131" s="40" t="s">
        <v>8</v>
      </c>
      <c r="H131" s="62" t="s">
        <v>52</v>
      </c>
      <c r="I131" s="57">
        <v>2024</v>
      </c>
      <c r="J131" s="57">
        <v>8</v>
      </c>
      <c r="K131" s="29">
        <v>45597</v>
      </c>
      <c r="L131" s="69"/>
      <c r="M131" s="68">
        <v>0.13009999999999999</v>
      </c>
      <c r="N131" s="68">
        <v>0.15353749999999999</v>
      </c>
      <c r="O131" s="68">
        <v>2.34375E-2</v>
      </c>
      <c r="P131" s="68">
        <f>L131*O131</f>
        <v>0</v>
      </c>
      <c r="Q131" s="100">
        <v>1</v>
      </c>
      <c r="R131" s="104">
        <f t="shared" si="82"/>
        <v>0.13009999999999999</v>
      </c>
      <c r="S131" s="73">
        <v>363700</v>
      </c>
      <c r="T131" s="77">
        <f>S131</f>
        <v>363700</v>
      </c>
      <c r="U131" s="78">
        <v>750000</v>
      </c>
      <c r="V131" s="78">
        <f t="shared" si="91"/>
        <v>741475.78125</v>
      </c>
      <c r="W131" s="40" t="s">
        <v>78</v>
      </c>
      <c r="X131" s="129" t="s">
        <v>87</v>
      </c>
      <c r="Y131" s="79">
        <v>1.2</v>
      </c>
      <c r="Z131" s="79"/>
      <c r="AA131" s="79"/>
      <c r="AB131" s="80"/>
      <c r="AC131" s="78">
        <f t="shared" si="92"/>
        <v>55841.588749999995</v>
      </c>
      <c r="AD131" s="83"/>
      <c r="AE131" s="77">
        <f t="shared" si="93"/>
        <v>436.44</v>
      </c>
      <c r="AF131" s="84"/>
    </row>
    <row r="132" spans="2:32" s="43" customFormat="1">
      <c r="B132" s="60" t="s">
        <v>7</v>
      </c>
      <c r="C132" s="40" t="s">
        <v>16</v>
      </c>
      <c r="D132" s="40" t="s">
        <v>88</v>
      </c>
      <c r="E132" s="91" t="s">
        <v>89</v>
      </c>
      <c r="F132" s="40" t="s">
        <v>51</v>
      </c>
      <c r="G132" s="40" t="s">
        <v>8</v>
      </c>
      <c r="H132" s="62" t="s">
        <v>52</v>
      </c>
      <c r="I132" s="57">
        <v>2025</v>
      </c>
      <c r="J132" s="57">
        <v>2</v>
      </c>
      <c r="K132" s="29">
        <v>45722</v>
      </c>
      <c r="L132" s="69"/>
      <c r="M132" s="68">
        <v>0.1404</v>
      </c>
      <c r="N132" s="68">
        <v>0.16289999999999999</v>
      </c>
      <c r="O132" s="68">
        <v>2.2499999999999999E-2</v>
      </c>
      <c r="P132" s="68"/>
      <c r="Q132" s="100">
        <v>1</v>
      </c>
      <c r="R132" s="104">
        <f t="shared" ref="R132" si="102">Q132*M132</f>
        <v>0.1404</v>
      </c>
      <c r="S132" s="73">
        <v>0</v>
      </c>
      <c r="T132" s="144">
        <f>S132+T133</f>
        <v>2996004</v>
      </c>
      <c r="U132" s="136">
        <v>720000</v>
      </c>
      <c r="V132" s="136">
        <f t="shared" si="91"/>
        <v>652589.91</v>
      </c>
      <c r="W132" s="40" t="s">
        <v>78</v>
      </c>
      <c r="X132" s="129" t="s">
        <v>87</v>
      </c>
      <c r="Y132" s="79">
        <v>1.4</v>
      </c>
      <c r="Z132" s="79"/>
      <c r="AA132" s="79"/>
      <c r="AB132" s="80"/>
      <c r="AC132" s="78">
        <f t="shared" si="92"/>
        <v>0</v>
      </c>
      <c r="AD132" s="83"/>
      <c r="AE132" s="77">
        <f t="shared" si="93"/>
        <v>0</v>
      </c>
      <c r="AF132" s="84"/>
    </row>
    <row r="133" spans="2:32" s="43" customFormat="1" hidden="1">
      <c r="B133" s="60" t="s">
        <v>7</v>
      </c>
      <c r="C133" s="40" t="s">
        <v>16</v>
      </c>
      <c r="D133" s="40" t="s">
        <v>88</v>
      </c>
      <c r="E133" s="91" t="s">
        <v>89</v>
      </c>
      <c r="F133" s="40" t="s">
        <v>51</v>
      </c>
      <c r="G133" s="40" t="s">
        <v>8</v>
      </c>
      <c r="H133" s="62" t="s">
        <v>52</v>
      </c>
      <c r="I133" s="57">
        <v>2025</v>
      </c>
      <c r="J133" s="57">
        <v>1</v>
      </c>
      <c r="K133" s="29">
        <v>45705</v>
      </c>
      <c r="L133" s="69"/>
      <c r="M133" s="68">
        <v>0.1404</v>
      </c>
      <c r="N133" s="68">
        <v>0.16289999999999999</v>
      </c>
      <c r="O133" s="68">
        <v>2.2499999999999999E-2</v>
      </c>
      <c r="P133" s="68"/>
      <c r="Q133" s="100">
        <v>1</v>
      </c>
      <c r="R133" s="104">
        <f t="shared" si="82"/>
        <v>0.1404</v>
      </c>
      <c r="S133" s="73">
        <v>0</v>
      </c>
      <c r="T133" s="77">
        <f>S133+T134</f>
        <v>2996004</v>
      </c>
      <c r="U133" s="78">
        <v>720000</v>
      </c>
      <c r="V133" s="78">
        <f t="shared" ref="V133" si="103">U133-O133*T133</f>
        <v>652589.91</v>
      </c>
      <c r="W133" s="40" t="s">
        <v>78</v>
      </c>
      <c r="X133" s="129" t="s">
        <v>87</v>
      </c>
      <c r="Y133" s="79">
        <v>1.4</v>
      </c>
      <c r="Z133" s="79"/>
      <c r="AA133" s="79"/>
      <c r="AB133" s="80"/>
      <c r="AC133" s="78">
        <f t="shared" ref="AC133" si="104">N133*S133</f>
        <v>0</v>
      </c>
      <c r="AD133" s="83"/>
      <c r="AE133" s="77">
        <f t="shared" ref="AE133" si="105">S133*Y133/1000</f>
        <v>0</v>
      </c>
      <c r="AF133" s="84"/>
    </row>
    <row r="134" spans="2:32" s="43" customFormat="1" hidden="1">
      <c r="B134" s="60" t="s">
        <v>7</v>
      </c>
      <c r="C134" s="40" t="s">
        <v>16</v>
      </c>
      <c r="D134" s="40" t="s">
        <v>88</v>
      </c>
      <c r="E134" s="91" t="s">
        <v>89</v>
      </c>
      <c r="F134" s="40" t="s">
        <v>51</v>
      </c>
      <c r="G134" s="40" t="s">
        <v>8</v>
      </c>
      <c r="H134" s="62" t="s">
        <v>52</v>
      </c>
      <c r="I134" s="57">
        <v>2024</v>
      </c>
      <c r="J134" s="57">
        <v>12</v>
      </c>
      <c r="K134" s="29">
        <v>45665</v>
      </c>
      <c r="L134" s="69"/>
      <c r="M134" s="68">
        <v>0.1404</v>
      </c>
      <c r="N134" s="68">
        <v>0.16289999999999999</v>
      </c>
      <c r="O134" s="68">
        <v>2.2499999999999999E-2</v>
      </c>
      <c r="P134" s="68"/>
      <c r="Q134" s="100">
        <v>1</v>
      </c>
      <c r="R134" s="104">
        <f t="shared" ref="R134" si="106">Q134*M134</f>
        <v>0.1404</v>
      </c>
      <c r="S134" s="73">
        <v>396004</v>
      </c>
      <c r="T134" s="77">
        <f>S134+T135</f>
        <v>2996004</v>
      </c>
      <c r="U134" s="78">
        <v>720000</v>
      </c>
      <c r="V134" s="78">
        <f t="shared" si="91"/>
        <v>652589.91</v>
      </c>
      <c r="W134" s="40" t="s">
        <v>78</v>
      </c>
      <c r="X134" s="129" t="s">
        <v>87</v>
      </c>
      <c r="Y134" s="79">
        <v>1.4</v>
      </c>
      <c r="Z134" s="79"/>
      <c r="AA134" s="79"/>
      <c r="AB134" s="80"/>
      <c r="AC134" s="78">
        <f t="shared" si="92"/>
        <v>64509.051599999999</v>
      </c>
      <c r="AD134" s="83"/>
      <c r="AE134" s="77">
        <f t="shared" si="93"/>
        <v>554.40559999999994</v>
      </c>
      <c r="AF134" s="84"/>
    </row>
    <row r="135" spans="2:32" s="43" customFormat="1" hidden="1">
      <c r="B135" s="60" t="s">
        <v>7</v>
      </c>
      <c r="C135" s="40" t="s">
        <v>16</v>
      </c>
      <c r="D135" s="40" t="s">
        <v>88</v>
      </c>
      <c r="E135" s="91" t="s">
        <v>89</v>
      </c>
      <c r="F135" s="40" t="s">
        <v>51</v>
      </c>
      <c r="G135" s="40" t="s">
        <v>8</v>
      </c>
      <c r="H135" s="62" t="s">
        <v>52</v>
      </c>
      <c r="I135" s="57">
        <v>2024</v>
      </c>
      <c r="J135" s="57">
        <v>11</v>
      </c>
      <c r="K135" s="29">
        <v>45629</v>
      </c>
      <c r="L135" s="69"/>
      <c r="M135" s="68">
        <v>0.1404</v>
      </c>
      <c r="N135" s="68">
        <v>0.16289999999999999</v>
      </c>
      <c r="O135" s="68">
        <v>2.2499999999999999E-2</v>
      </c>
      <c r="P135" s="68"/>
      <c r="Q135" s="100">
        <v>1</v>
      </c>
      <c r="R135" s="104">
        <f t="shared" si="82"/>
        <v>0.1404</v>
      </c>
      <c r="S135" s="73">
        <v>420000</v>
      </c>
      <c r="T135" s="77">
        <f>S135+T136</f>
        <v>2600000</v>
      </c>
      <c r="U135" s="78">
        <v>720000</v>
      </c>
      <c r="V135" s="78">
        <f t="shared" ref="V135" si="107">U135-O135*T135</f>
        <v>661500</v>
      </c>
      <c r="W135" s="40" t="s">
        <v>78</v>
      </c>
      <c r="X135" s="129" t="s">
        <v>87</v>
      </c>
      <c r="Y135" s="79">
        <v>1.4</v>
      </c>
      <c r="Z135" s="79"/>
      <c r="AA135" s="79"/>
      <c r="AB135" s="80"/>
      <c r="AC135" s="78">
        <f t="shared" ref="AC135" si="108">N135*S135</f>
        <v>68418</v>
      </c>
      <c r="AD135" s="83"/>
      <c r="AE135" s="77">
        <f t="shared" ref="AE135" si="109">S135*Y135/1000</f>
        <v>588</v>
      </c>
      <c r="AF135" s="84"/>
    </row>
    <row r="136" spans="2:32" s="43" customFormat="1" hidden="1">
      <c r="B136" s="60" t="s">
        <v>7</v>
      </c>
      <c r="C136" s="40" t="s">
        <v>16</v>
      </c>
      <c r="D136" s="40" t="s">
        <v>88</v>
      </c>
      <c r="E136" s="91" t="s">
        <v>89</v>
      </c>
      <c r="F136" s="40" t="s">
        <v>51</v>
      </c>
      <c r="G136" s="40" t="s">
        <v>8</v>
      </c>
      <c r="H136" s="62" t="s">
        <v>52</v>
      </c>
      <c r="I136" s="57">
        <v>2024</v>
      </c>
      <c r="J136" s="57">
        <v>10</v>
      </c>
      <c r="K136" s="29">
        <v>45601</v>
      </c>
      <c r="L136" s="69"/>
      <c r="M136" s="68">
        <v>0.1404</v>
      </c>
      <c r="N136" s="68">
        <v>0.16289999999999999</v>
      </c>
      <c r="O136" s="68">
        <v>2.2499999999999999E-2</v>
      </c>
      <c r="P136" s="68"/>
      <c r="Q136" s="100">
        <v>1</v>
      </c>
      <c r="R136" s="104">
        <f t="shared" si="82"/>
        <v>0.1404</v>
      </c>
      <c r="S136" s="73">
        <v>410000</v>
      </c>
      <c r="T136" s="77">
        <f>S136+T137</f>
        <v>2180000</v>
      </c>
      <c r="U136" s="78">
        <v>720000</v>
      </c>
      <c r="V136" s="78">
        <f t="shared" si="91"/>
        <v>670950</v>
      </c>
      <c r="W136" s="40" t="s">
        <v>78</v>
      </c>
      <c r="X136" s="129" t="s">
        <v>87</v>
      </c>
      <c r="Y136" s="79">
        <v>1.4</v>
      </c>
      <c r="Z136" s="79"/>
      <c r="AA136" s="79"/>
      <c r="AB136" s="80"/>
      <c r="AC136" s="78">
        <f t="shared" si="92"/>
        <v>66789</v>
      </c>
      <c r="AD136" s="83"/>
      <c r="AE136" s="77">
        <f t="shared" si="93"/>
        <v>574</v>
      </c>
      <c r="AF136" s="84"/>
    </row>
    <row r="137" spans="2:32" s="43" customFormat="1" hidden="1">
      <c r="B137" s="60" t="s">
        <v>7</v>
      </c>
      <c r="C137" s="40" t="str">
        <f>VLOOKUP(B137,[1]Sheet1!$A:$B,2,0)</f>
        <v>MODI</v>
      </c>
      <c r="D137" s="40" t="s">
        <v>88</v>
      </c>
      <c r="E137" s="91" t="s">
        <v>89</v>
      </c>
      <c r="F137" s="40" t="s">
        <v>51</v>
      </c>
      <c r="G137" s="40" t="s">
        <v>8</v>
      </c>
      <c r="H137" s="40" t="s">
        <v>52</v>
      </c>
      <c r="I137" s="57">
        <v>2024</v>
      </c>
      <c r="J137" s="57">
        <v>9</v>
      </c>
      <c r="K137" s="29">
        <v>45597</v>
      </c>
      <c r="L137" s="69"/>
      <c r="M137" s="68">
        <v>0.1404</v>
      </c>
      <c r="N137" s="68">
        <v>0.16289999999999999</v>
      </c>
      <c r="O137" s="68">
        <v>2.2499999999999999E-2</v>
      </c>
      <c r="P137" s="68">
        <f>L137*O137</f>
        <v>0</v>
      </c>
      <c r="Q137" s="100">
        <v>1</v>
      </c>
      <c r="R137" s="104">
        <f t="shared" si="82"/>
        <v>0.1404</v>
      </c>
      <c r="S137" s="73">
        <v>1440000</v>
      </c>
      <c r="T137" s="77">
        <v>1770000</v>
      </c>
      <c r="U137" s="78">
        <v>720000</v>
      </c>
      <c r="V137" s="78">
        <f t="shared" ref="V137:V143" si="110">U137-O137*T137</f>
        <v>680175</v>
      </c>
      <c r="W137" s="40" t="s">
        <v>78</v>
      </c>
      <c r="X137" s="129" t="s">
        <v>87</v>
      </c>
      <c r="Y137" s="79">
        <v>1.4</v>
      </c>
      <c r="Z137" s="79"/>
      <c r="AA137" s="79"/>
      <c r="AB137" s="80"/>
      <c r="AC137" s="78">
        <f t="shared" ref="AC137:AC143" si="111">N137*S137</f>
        <v>234575.99999999997</v>
      </c>
      <c r="AD137" s="83">
        <v>0</v>
      </c>
      <c r="AE137" s="77">
        <f t="shared" ref="AE137:AE143" si="112">S137*Y137/1000</f>
        <v>2015.9999999999998</v>
      </c>
      <c r="AF137" s="84"/>
    </row>
    <row r="138" spans="2:32" s="43" customFormat="1" hidden="1">
      <c r="B138" s="60" t="s">
        <v>7</v>
      </c>
      <c r="C138" s="40" t="s">
        <v>16</v>
      </c>
      <c r="D138" s="40" t="s">
        <v>88</v>
      </c>
      <c r="E138" s="91" t="s">
        <v>89</v>
      </c>
      <c r="F138" s="40" t="s">
        <v>51</v>
      </c>
      <c r="G138" s="40" t="s">
        <v>8</v>
      </c>
      <c r="H138" s="40" t="s">
        <v>52</v>
      </c>
      <c r="I138" s="57">
        <v>2024</v>
      </c>
      <c r="J138" s="57">
        <v>8</v>
      </c>
      <c r="K138" s="29">
        <v>45597</v>
      </c>
      <c r="L138" s="69"/>
      <c r="M138" s="68">
        <v>0.1404</v>
      </c>
      <c r="N138" s="68">
        <v>0.16289999999999999</v>
      </c>
      <c r="O138" s="68">
        <v>2.2499999999999999E-2</v>
      </c>
      <c r="P138" s="68">
        <f>L138*O138</f>
        <v>0</v>
      </c>
      <c r="Q138" s="100">
        <v>1</v>
      </c>
      <c r="R138" s="104">
        <f t="shared" si="82"/>
        <v>0.1404</v>
      </c>
      <c r="S138" s="73">
        <v>330000</v>
      </c>
      <c r="T138" s="77">
        <f>S138</f>
        <v>330000</v>
      </c>
      <c r="U138" s="78">
        <v>720000</v>
      </c>
      <c r="V138" s="78">
        <f t="shared" si="110"/>
        <v>712575</v>
      </c>
      <c r="W138" s="40" t="s">
        <v>78</v>
      </c>
      <c r="X138" s="129" t="s">
        <v>87</v>
      </c>
      <c r="Y138" s="79">
        <v>1.4</v>
      </c>
      <c r="Z138" s="79"/>
      <c r="AA138" s="79"/>
      <c r="AB138" s="80"/>
      <c r="AC138" s="78">
        <f t="shared" si="111"/>
        <v>53757</v>
      </c>
      <c r="AD138" s="83"/>
      <c r="AE138" s="77">
        <f t="shared" si="112"/>
        <v>461.99999999999994</v>
      </c>
      <c r="AF138" s="84"/>
    </row>
    <row r="139" spans="2:32" s="43" customFormat="1">
      <c r="B139" s="60" t="s">
        <v>7</v>
      </c>
      <c r="C139" s="40" t="s">
        <v>16</v>
      </c>
      <c r="D139" s="40" t="s">
        <v>63</v>
      </c>
      <c r="E139" s="91" t="s">
        <v>90</v>
      </c>
      <c r="F139" s="40" t="s">
        <v>51</v>
      </c>
      <c r="G139" s="40" t="s">
        <v>8</v>
      </c>
      <c r="H139" s="40" t="s">
        <v>52</v>
      </c>
      <c r="I139" s="57">
        <v>2025</v>
      </c>
      <c r="J139" s="57">
        <v>2</v>
      </c>
      <c r="K139" s="29">
        <v>45722</v>
      </c>
      <c r="L139" s="69"/>
      <c r="M139" s="68">
        <v>0.1628</v>
      </c>
      <c r="N139" s="68">
        <v>0.19405</v>
      </c>
      <c r="O139" s="68">
        <v>3.125E-2</v>
      </c>
      <c r="P139" s="68"/>
      <c r="Q139" s="100">
        <v>1</v>
      </c>
      <c r="R139" s="104">
        <f t="shared" ref="R139" si="113">Q139*M139</f>
        <v>0.1628</v>
      </c>
      <c r="S139" s="73">
        <v>0</v>
      </c>
      <c r="T139" s="144">
        <f>S139+T140</f>
        <v>235493</v>
      </c>
      <c r="U139" s="136">
        <v>1000000</v>
      </c>
      <c r="V139" s="136">
        <f t="shared" si="110"/>
        <v>992640.84375</v>
      </c>
      <c r="W139" s="57" t="s">
        <v>53</v>
      </c>
      <c r="X139" s="128" t="s">
        <v>82</v>
      </c>
      <c r="Y139" s="79">
        <v>1.7</v>
      </c>
      <c r="Z139" s="79"/>
      <c r="AA139" s="79"/>
      <c r="AB139" s="80"/>
      <c r="AC139" s="78">
        <f t="shared" si="111"/>
        <v>0</v>
      </c>
      <c r="AD139" s="83"/>
      <c r="AE139" s="77">
        <f t="shared" ref="AE139:AE140" si="114">S139*Y139/1000</f>
        <v>0</v>
      </c>
      <c r="AF139" s="84"/>
    </row>
    <row r="140" spans="2:32" s="43" customFormat="1" hidden="1">
      <c r="B140" s="60" t="s">
        <v>7</v>
      </c>
      <c r="C140" s="40" t="s">
        <v>16</v>
      </c>
      <c r="D140" s="40" t="s">
        <v>63</v>
      </c>
      <c r="E140" s="91" t="s">
        <v>90</v>
      </c>
      <c r="F140" s="40" t="s">
        <v>51</v>
      </c>
      <c r="G140" s="40" t="s">
        <v>8</v>
      </c>
      <c r="H140" s="40" t="s">
        <v>52</v>
      </c>
      <c r="I140" s="57">
        <v>2025</v>
      </c>
      <c r="J140" s="57">
        <v>1</v>
      </c>
      <c r="K140" s="29">
        <v>45705</v>
      </c>
      <c r="L140" s="69"/>
      <c r="M140" s="68">
        <v>0.1628</v>
      </c>
      <c r="N140" s="68">
        <v>0.19405</v>
      </c>
      <c r="O140" s="68">
        <v>3.125E-2</v>
      </c>
      <c r="P140" s="68"/>
      <c r="Q140" s="100">
        <v>1</v>
      </c>
      <c r="R140" s="104">
        <f t="shared" si="82"/>
        <v>0.1628</v>
      </c>
      <c r="S140" s="73">
        <v>0</v>
      </c>
      <c r="T140" s="77">
        <f>S140+T141</f>
        <v>235493</v>
      </c>
      <c r="U140" s="78">
        <v>1000000</v>
      </c>
      <c r="V140" s="78">
        <f t="shared" ref="V140" si="115">U140-O140*T140</f>
        <v>992640.84375</v>
      </c>
      <c r="W140" s="57" t="s">
        <v>53</v>
      </c>
      <c r="X140" s="128" t="s">
        <v>82</v>
      </c>
      <c r="Y140" s="79">
        <v>1.7</v>
      </c>
      <c r="Z140" s="79"/>
      <c r="AA140" s="79"/>
      <c r="AB140" s="80"/>
      <c r="AC140" s="78">
        <f t="shared" ref="AC140" si="116">N140*S140</f>
        <v>0</v>
      </c>
      <c r="AD140" s="83"/>
      <c r="AE140" s="77">
        <f t="shared" si="114"/>
        <v>0</v>
      </c>
      <c r="AF140" s="84"/>
    </row>
    <row r="141" spans="2:32" s="43" customFormat="1" hidden="1">
      <c r="B141" s="60" t="s">
        <v>7</v>
      </c>
      <c r="C141" s="40" t="s">
        <v>16</v>
      </c>
      <c r="D141" s="40" t="s">
        <v>63</v>
      </c>
      <c r="E141" s="91" t="s">
        <v>90</v>
      </c>
      <c r="F141" s="40" t="s">
        <v>51</v>
      </c>
      <c r="G141" s="40" t="s">
        <v>8</v>
      </c>
      <c r="H141" s="40" t="s">
        <v>52</v>
      </c>
      <c r="I141" s="57">
        <v>2024</v>
      </c>
      <c r="J141" s="57">
        <v>12</v>
      </c>
      <c r="K141" s="29">
        <v>45665</v>
      </c>
      <c r="L141" s="69"/>
      <c r="M141" s="68">
        <v>0.1628</v>
      </c>
      <c r="N141" s="68">
        <v>0.19405</v>
      </c>
      <c r="O141" s="68">
        <v>3.125E-2</v>
      </c>
      <c r="P141" s="68"/>
      <c r="Q141" s="100">
        <v>1</v>
      </c>
      <c r="R141" s="104">
        <f t="shared" ref="R141" si="117">Q141*M141</f>
        <v>0.1628</v>
      </c>
      <c r="S141" s="73">
        <v>0</v>
      </c>
      <c r="T141" s="77">
        <f>S141+T142</f>
        <v>235493</v>
      </c>
      <c r="U141" s="78">
        <v>1000000</v>
      </c>
      <c r="V141" s="78">
        <f t="shared" si="110"/>
        <v>992640.84375</v>
      </c>
      <c r="W141" s="57" t="s">
        <v>53</v>
      </c>
      <c r="X141" s="128" t="s">
        <v>82</v>
      </c>
      <c r="Y141" s="79">
        <v>1.7</v>
      </c>
      <c r="Z141" s="79"/>
      <c r="AA141" s="79"/>
      <c r="AB141" s="80"/>
      <c r="AC141" s="78">
        <f t="shared" si="111"/>
        <v>0</v>
      </c>
      <c r="AD141" s="83"/>
      <c r="AE141" s="77">
        <f t="shared" si="112"/>
        <v>0</v>
      </c>
      <c r="AF141" s="84"/>
    </row>
    <row r="142" spans="2:32" s="43" customFormat="1" hidden="1">
      <c r="B142" s="60" t="s">
        <v>7</v>
      </c>
      <c r="C142" s="40" t="s">
        <v>16</v>
      </c>
      <c r="D142" s="40" t="s">
        <v>63</v>
      </c>
      <c r="E142" s="91" t="s">
        <v>90</v>
      </c>
      <c r="F142" s="40" t="s">
        <v>51</v>
      </c>
      <c r="G142" s="40" t="s">
        <v>8</v>
      </c>
      <c r="H142" s="40" t="s">
        <v>52</v>
      </c>
      <c r="I142" s="57">
        <v>2024</v>
      </c>
      <c r="J142" s="57">
        <v>11</v>
      </c>
      <c r="K142" s="29">
        <v>45629</v>
      </c>
      <c r="L142" s="69"/>
      <c r="M142" s="68">
        <v>0.1628</v>
      </c>
      <c r="N142" s="68">
        <v>0.19405</v>
      </c>
      <c r="O142" s="68">
        <v>3.125E-2</v>
      </c>
      <c r="P142" s="68"/>
      <c r="Q142" s="100">
        <v>1</v>
      </c>
      <c r="R142" s="104">
        <f t="shared" si="82"/>
        <v>0.1628</v>
      </c>
      <c r="S142" s="73">
        <v>42500</v>
      </c>
      <c r="T142" s="77">
        <f>S142+T143</f>
        <v>235493</v>
      </c>
      <c r="U142" s="78">
        <v>1000000</v>
      </c>
      <c r="V142" s="78">
        <f t="shared" ref="V142" si="118">U142-O142*T142</f>
        <v>992640.84375</v>
      </c>
      <c r="W142" s="57" t="s">
        <v>53</v>
      </c>
      <c r="X142" s="128" t="s">
        <v>82</v>
      </c>
      <c r="Y142" s="79">
        <v>1.7</v>
      </c>
      <c r="Z142" s="79"/>
      <c r="AA142" s="79"/>
      <c r="AB142" s="80"/>
      <c r="AC142" s="78">
        <f t="shared" ref="AC142" si="119">N142*S142</f>
        <v>8247.125</v>
      </c>
      <c r="AD142" s="83"/>
      <c r="AE142" s="77">
        <f t="shared" ref="AE142" si="120">S142*Y142/1000</f>
        <v>72.25</v>
      </c>
      <c r="AF142" s="84"/>
    </row>
    <row r="143" spans="2:32" s="43" customFormat="1" hidden="1">
      <c r="B143" s="60" t="s">
        <v>7</v>
      </c>
      <c r="C143" s="40" t="s">
        <v>16</v>
      </c>
      <c r="D143" s="40" t="s">
        <v>63</v>
      </c>
      <c r="E143" s="91" t="s">
        <v>90</v>
      </c>
      <c r="F143" s="40" t="s">
        <v>51</v>
      </c>
      <c r="G143" s="40" t="s">
        <v>8</v>
      </c>
      <c r="H143" s="40" t="s">
        <v>52</v>
      </c>
      <c r="I143" s="57">
        <v>2024</v>
      </c>
      <c r="J143" s="57">
        <v>10</v>
      </c>
      <c r="K143" s="29">
        <v>45601</v>
      </c>
      <c r="L143" s="69"/>
      <c r="M143" s="68">
        <v>0.1628</v>
      </c>
      <c r="N143" s="68">
        <v>0.19405</v>
      </c>
      <c r="O143" s="68">
        <v>3.125E-2</v>
      </c>
      <c r="P143" s="68"/>
      <c r="Q143" s="100">
        <v>1</v>
      </c>
      <c r="R143" s="104">
        <f t="shared" si="82"/>
        <v>0.1628</v>
      </c>
      <c r="S143" s="73">
        <v>75043</v>
      </c>
      <c r="T143" s="77">
        <f>S143+T144</f>
        <v>192993</v>
      </c>
      <c r="U143" s="78">
        <v>1000000</v>
      </c>
      <c r="V143" s="78">
        <f t="shared" si="110"/>
        <v>993968.96875</v>
      </c>
      <c r="W143" s="57" t="s">
        <v>53</v>
      </c>
      <c r="X143" s="128" t="s">
        <v>82</v>
      </c>
      <c r="Y143" s="79">
        <v>1.7</v>
      </c>
      <c r="Z143" s="79"/>
      <c r="AA143" s="79"/>
      <c r="AB143" s="80"/>
      <c r="AC143" s="78">
        <f t="shared" si="111"/>
        <v>14562.094150000001</v>
      </c>
      <c r="AD143" s="83"/>
      <c r="AE143" s="77">
        <f t="shared" si="112"/>
        <v>127.5731</v>
      </c>
      <c r="AF143" s="84"/>
    </row>
    <row r="144" spans="2:32" s="43" customFormat="1" hidden="1">
      <c r="B144" s="17" t="s">
        <v>7</v>
      </c>
      <c r="C144" s="40" t="str">
        <f>VLOOKUP(B144,[1]Sheet1!$A:$B,2,0)</f>
        <v>MODI</v>
      </c>
      <c r="D144" s="40" t="s">
        <v>63</v>
      </c>
      <c r="E144" s="91" t="s">
        <v>90</v>
      </c>
      <c r="F144" s="40" t="s">
        <v>51</v>
      </c>
      <c r="G144" s="40" t="s">
        <v>8</v>
      </c>
      <c r="H144" s="40" t="s">
        <v>52</v>
      </c>
      <c r="I144" s="57">
        <v>2024</v>
      </c>
      <c r="J144" s="57">
        <v>9</v>
      </c>
      <c r="K144" s="29">
        <v>45597</v>
      </c>
      <c r="L144" s="69"/>
      <c r="M144" s="68">
        <v>0.1628</v>
      </c>
      <c r="N144" s="68">
        <v>0.19405</v>
      </c>
      <c r="O144" s="68">
        <v>3.125E-2</v>
      </c>
      <c r="P144" s="68">
        <f>L144*O144</f>
        <v>0</v>
      </c>
      <c r="Q144" s="100">
        <v>1</v>
      </c>
      <c r="R144" s="104">
        <f t="shared" si="82"/>
        <v>0.1628</v>
      </c>
      <c r="S144" s="73">
        <v>105000</v>
      </c>
      <c r="T144" s="77">
        <v>117950</v>
      </c>
      <c r="U144" s="78">
        <v>1000000</v>
      </c>
      <c r="V144" s="78">
        <f t="shared" ref="V144:V150" si="121">U144-O144*T144</f>
        <v>996314.0625</v>
      </c>
      <c r="W144" s="57" t="s">
        <v>53</v>
      </c>
      <c r="X144" s="128" t="s">
        <v>82</v>
      </c>
      <c r="Y144" s="79">
        <v>1.7</v>
      </c>
      <c r="Z144" s="79"/>
      <c r="AA144" s="79"/>
      <c r="AB144" s="80"/>
      <c r="AC144" s="78">
        <f t="shared" ref="AC144:AC150" si="122">N144*S144</f>
        <v>20375.25</v>
      </c>
      <c r="AD144" s="83">
        <v>0</v>
      </c>
      <c r="AE144" s="77">
        <f t="shared" ref="AE144:AE150" si="123">S144*Y144/1000</f>
        <v>178.5</v>
      </c>
      <c r="AF144" s="84"/>
    </row>
    <row r="145" spans="2:32" s="43" customFormat="1" hidden="1">
      <c r="B145" s="17" t="s">
        <v>7</v>
      </c>
      <c r="C145" s="40" t="s">
        <v>16</v>
      </c>
      <c r="D145" s="40" t="s">
        <v>63</v>
      </c>
      <c r="E145" s="91" t="s">
        <v>90</v>
      </c>
      <c r="F145" s="40" t="s">
        <v>51</v>
      </c>
      <c r="G145" s="40" t="s">
        <v>8</v>
      </c>
      <c r="H145" s="40" t="s">
        <v>52</v>
      </c>
      <c r="I145" s="57">
        <v>2024</v>
      </c>
      <c r="J145" s="57">
        <v>8</v>
      </c>
      <c r="K145" s="29">
        <v>45597</v>
      </c>
      <c r="L145" s="69"/>
      <c r="M145" s="68">
        <v>0.1628</v>
      </c>
      <c r="N145" s="68">
        <v>0.19405</v>
      </c>
      <c r="O145" s="68">
        <v>3.125E-2</v>
      </c>
      <c r="P145" s="68">
        <f>L145*O145</f>
        <v>0</v>
      </c>
      <c r="Q145" s="100">
        <v>1</v>
      </c>
      <c r="R145" s="104">
        <f t="shared" si="82"/>
        <v>0.1628</v>
      </c>
      <c r="S145" s="73">
        <v>12950</v>
      </c>
      <c r="T145" s="77">
        <f>S145</f>
        <v>12950</v>
      </c>
      <c r="U145" s="78">
        <v>1000000</v>
      </c>
      <c r="V145" s="78">
        <f t="shared" si="121"/>
        <v>999595.3125</v>
      </c>
      <c r="W145" s="57" t="s">
        <v>53</v>
      </c>
      <c r="X145" s="128" t="s">
        <v>82</v>
      </c>
      <c r="Y145" s="79">
        <v>1.7</v>
      </c>
      <c r="Z145" s="79"/>
      <c r="AA145" s="79"/>
      <c r="AB145" s="80"/>
      <c r="AC145" s="78">
        <f t="shared" si="122"/>
        <v>2512.9475000000002</v>
      </c>
      <c r="AD145" s="83"/>
      <c r="AE145" s="77">
        <f t="shared" si="123"/>
        <v>22.015000000000001</v>
      </c>
      <c r="AF145" s="84"/>
    </row>
    <row r="146" spans="2:32" s="43" customFormat="1">
      <c r="B146" s="17" t="s">
        <v>7</v>
      </c>
      <c r="C146" s="40" t="s">
        <v>16</v>
      </c>
      <c r="D146" s="40" t="s">
        <v>91</v>
      </c>
      <c r="E146" s="91" t="s">
        <v>92</v>
      </c>
      <c r="F146" s="40" t="s">
        <v>51</v>
      </c>
      <c r="G146" s="40" t="s">
        <v>8</v>
      </c>
      <c r="H146" s="40" t="s">
        <v>52</v>
      </c>
      <c r="I146" s="57">
        <v>2025</v>
      </c>
      <c r="J146" s="57">
        <v>2</v>
      </c>
      <c r="K146" s="29">
        <v>45722</v>
      </c>
      <c r="L146" s="69"/>
      <c r="M146" s="68">
        <v>0.21</v>
      </c>
      <c r="N146" s="68">
        <v>0.245</v>
      </c>
      <c r="O146" s="68">
        <v>3.5000000000000003E-2</v>
      </c>
      <c r="P146" s="68"/>
      <c r="Q146" s="100">
        <v>1</v>
      </c>
      <c r="R146" s="104">
        <f t="shared" ref="R146" si="124">Q146*M146</f>
        <v>0.21</v>
      </c>
      <c r="S146" s="73">
        <v>0</v>
      </c>
      <c r="T146" s="144">
        <f>S146+T147</f>
        <v>186392</v>
      </c>
      <c r="U146" s="136">
        <v>1120000</v>
      </c>
      <c r="V146" s="136">
        <f t="shared" si="121"/>
        <v>1113476.28</v>
      </c>
      <c r="W146" s="57" t="s">
        <v>53</v>
      </c>
      <c r="X146" s="128" t="s">
        <v>82</v>
      </c>
      <c r="Y146" s="79">
        <v>2.6</v>
      </c>
      <c r="Z146" s="79"/>
      <c r="AA146" s="79"/>
      <c r="AB146" s="80"/>
      <c r="AC146" s="78">
        <f t="shared" si="122"/>
        <v>0</v>
      </c>
      <c r="AD146" s="83"/>
      <c r="AE146" s="77">
        <f t="shared" si="123"/>
        <v>0</v>
      </c>
      <c r="AF146" s="84"/>
    </row>
    <row r="147" spans="2:32" s="43" customFormat="1" hidden="1">
      <c r="B147" s="17" t="s">
        <v>7</v>
      </c>
      <c r="C147" s="40" t="s">
        <v>16</v>
      </c>
      <c r="D147" s="40" t="s">
        <v>91</v>
      </c>
      <c r="E147" s="91" t="s">
        <v>92</v>
      </c>
      <c r="F147" s="40" t="s">
        <v>51</v>
      </c>
      <c r="G147" s="40" t="s">
        <v>8</v>
      </c>
      <c r="H147" s="40" t="s">
        <v>52</v>
      </c>
      <c r="I147" s="57">
        <v>2025</v>
      </c>
      <c r="J147" s="57">
        <v>1</v>
      </c>
      <c r="K147" s="29">
        <v>45705</v>
      </c>
      <c r="L147" s="69"/>
      <c r="M147" s="68">
        <v>0.21</v>
      </c>
      <c r="N147" s="68">
        <v>0.245</v>
      </c>
      <c r="O147" s="68">
        <v>3.5000000000000003E-2</v>
      </c>
      <c r="P147" s="68"/>
      <c r="Q147" s="100">
        <v>1</v>
      </c>
      <c r="R147" s="104">
        <f t="shared" si="82"/>
        <v>0.21</v>
      </c>
      <c r="S147" s="73">
        <v>0</v>
      </c>
      <c r="T147" s="77">
        <f>S147+T148</f>
        <v>186392</v>
      </c>
      <c r="U147" s="78">
        <v>1120000</v>
      </c>
      <c r="V147" s="78">
        <f t="shared" ref="V147" si="125">U147-O147*T147</f>
        <v>1113476.28</v>
      </c>
      <c r="W147" s="57" t="s">
        <v>53</v>
      </c>
      <c r="X147" s="128" t="s">
        <v>82</v>
      </c>
      <c r="Y147" s="79">
        <v>2.6</v>
      </c>
      <c r="Z147" s="79"/>
      <c r="AA147" s="79"/>
      <c r="AB147" s="80"/>
      <c r="AC147" s="78">
        <f t="shared" ref="AC147" si="126">N147*S147</f>
        <v>0</v>
      </c>
      <c r="AD147" s="83"/>
      <c r="AE147" s="77">
        <f t="shared" ref="AE147" si="127">S147*Y147/1000</f>
        <v>0</v>
      </c>
      <c r="AF147" s="84"/>
    </row>
    <row r="148" spans="2:32" s="43" customFormat="1" hidden="1">
      <c r="B148" s="17" t="s">
        <v>7</v>
      </c>
      <c r="C148" s="40" t="s">
        <v>16</v>
      </c>
      <c r="D148" s="40" t="s">
        <v>91</v>
      </c>
      <c r="E148" s="91" t="s">
        <v>92</v>
      </c>
      <c r="F148" s="40" t="s">
        <v>51</v>
      </c>
      <c r="G148" s="40" t="s">
        <v>8</v>
      </c>
      <c r="H148" s="40" t="s">
        <v>52</v>
      </c>
      <c r="I148" s="57">
        <v>2024</v>
      </c>
      <c r="J148" s="57">
        <v>12</v>
      </c>
      <c r="K148" s="29">
        <v>45665</v>
      </c>
      <c r="L148" s="69"/>
      <c r="M148" s="68">
        <v>0.21</v>
      </c>
      <c r="N148" s="68">
        <v>0.245</v>
      </c>
      <c r="O148" s="68">
        <v>3.5000000000000003E-2</v>
      </c>
      <c r="P148" s="68"/>
      <c r="Q148" s="100">
        <v>1</v>
      </c>
      <c r="R148" s="104">
        <f t="shared" ref="R148" si="128">Q148*M148</f>
        <v>0.21</v>
      </c>
      <c r="S148" s="73">
        <v>0</v>
      </c>
      <c r="T148" s="77">
        <f>S148+T149</f>
        <v>186392</v>
      </c>
      <c r="U148" s="78">
        <v>1120000</v>
      </c>
      <c r="V148" s="78">
        <f t="shared" si="121"/>
        <v>1113476.28</v>
      </c>
      <c r="W148" s="57" t="s">
        <v>53</v>
      </c>
      <c r="X148" s="128" t="s">
        <v>82</v>
      </c>
      <c r="Y148" s="79">
        <v>2.6</v>
      </c>
      <c r="Z148" s="79"/>
      <c r="AA148" s="79"/>
      <c r="AB148" s="80"/>
      <c r="AC148" s="78">
        <f t="shared" si="122"/>
        <v>0</v>
      </c>
      <c r="AD148" s="83"/>
      <c r="AE148" s="77">
        <f t="shared" si="123"/>
        <v>0</v>
      </c>
      <c r="AF148" s="84"/>
    </row>
    <row r="149" spans="2:32" s="43" customFormat="1" hidden="1">
      <c r="B149" s="17" t="s">
        <v>7</v>
      </c>
      <c r="C149" s="40" t="s">
        <v>16</v>
      </c>
      <c r="D149" s="40" t="s">
        <v>91</v>
      </c>
      <c r="E149" s="91" t="s">
        <v>92</v>
      </c>
      <c r="F149" s="40" t="s">
        <v>51</v>
      </c>
      <c r="G149" s="40" t="s">
        <v>8</v>
      </c>
      <c r="H149" s="40" t="s">
        <v>52</v>
      </c>
      <c r="I149" s="57">
        <v>2024</v>
      </c>
      <c r="J149" s="57">
        <v>11</v>
      </c>
      <c r="K149" s="29">
        <v>45629</v>
      </c>
      <c r="L149" s="69"/>
      <c r="M149" s="68">
        <v>0.21</v>
      </c>
      <c r="N149" s="68">
        <v>0.245</v>
      </c>
      <c r="O149" s="68">
        <v>3.5000000000000003E-2</v>
      </c>
      <c r="P149" s="68"/>
      <c r="Q149" s="100">
        <v>1</v>
      </c>
      <c r="R149" s="104">
        <f t="shared" si="82"/>
        <v>0.21</v>
      </c>
      <c r="S149" s="73">
        <v>0</v>
      </c>
      <c r="T149" s="77">
        <f>S149+T150</f>
        <v>186392</v>
      </c>
      <c r="U149" s="78">
        <v>1120000</v>
      </c>
      <c r="V149" s="78">
        <f t="shared" ref="V149" si="129">U149-O149*T149</f>
        <v>1113476.28</v>
      </c>
      <c r="W149" s="57" t="s">
        <v>53</v>
      </c>
      <c r="X149" s="128" t="s">
        <v>82</v>
      </c>
      <c r="Y149" s="79">
        <v>2.6</v>
      </c>
      <c r="Z149" s="79"/>
      <c r="AA149" s="79"/>
      <c r="AB149" s="80"/>
      <c r="AC149" s="78">
        <f t="shared" ref="AC149" si="130">N149*S149</f>
        <v>0</v>
      </c>
      <c r="AD149" s="83"/>
      <c r="AE149" s="77">
        <f t="shared" ref="AE149" si="131">S149*Y149/1000</f>
        <v>0</v>
      </c>
      <c r="AF149" s="84"/>
    </row>
    <row r="150" spans="2:32" s="43" customFormat="1" hidden="1">
      <c r="B150" s="17" t="s">
        <v>7</v>
      </c>
      <c r="C150" s="40" t="s">
        <v>16</v>
      </c>
      <c r="D150" s="40" t="s">
        <v>91</v>
      </c>
      <c r="E150" s="91" t="s">
        <v>92</v>
      </c>
      <c r="F150" s="40" t="s">
        <v>51</v>
      </c>
      <c r="G150" s="40" t="s">
        <v>8</v>
      </c>
      <c r="H150" s="40" t="s">
        <v>52</v>
      </c>
      <c r="I150" s="57">
        <v>2024</v>
      </c>
      <c r="J150" s="57">
        <v>10</v>
      </c>
      <c r="K150" s="29">
        <v>45601</v>
      </c>
      <c r="L150" s="69"/>
      <c r="M150" s="68">
        <v>0.21</v>
      </c>
      <c r="N150" s="68">
        <v>0.245</v>
      </c>
      <c r="O150" s="68">
        <v>3.5000000000000003E-2</v>
      </c>
      <c r="P150" s="68"/>
      <c r="Q150" s="100">
        <v>1</v>
      </c>
      <c r="R150" s="104">
        <f t="shared" si="82"/>
        <v>0.21</v>
      </c>
      <c r="S150" s="73">
        <v>60442</v>
      </c>
      <c r="T150" s="77">
        <f>S150+T151</f>
        <v>186392</v>
      </c>
      <c r="U150" s="78">
        <v>1120000</v>
      </c>
      <c r="V150" s="78">
        <f t="shared" si="121"/>
        <v>1113476.28</v>
      </c>
      <c r="W150" s="57" t="s">
        <v>53</v>
      </c>
      <c r="X150" s="128" t="s">
        <v>82</v>
      </c>
      <c r="Y150" s="79">
        <v>2.6</v>
      </c>
      <c r="Z150" s="79"/>
      <c r="AA150" s="79"/>
      <c r="AB150" s="80"/>
      <c r="AC150" s="78">
        <f t="shared" si="122"/>
        <v>14808.289999999999</v>
      </c>
      <c r="AD150" s="83"/>
      <c r="AE150" s="77">
        <f t="shared" si="123"/>
        <v>157.14920000000001</v>
      </c>
      <c r="AF150" s="84"/>
    </row>
    <row r="151" spans="2:32" s="43" customFormat="1" hidden="1">
      <c r="B151" s="17" t="s">
        <v>7</v>
      </c>
      <c r="C151" s="40" t="str">
        <f>VLOOKUP(B151,[1]Sheet1!$A:$B,2,0)</f>
        <v>MODI</v>
      </c>
      <c r="D151" s="40" t="s">
        <v>91</v>
      </c>
      <c r="E151" s="91" t="s">
        <v>92</v>
      </c>
      <c r="F151" s="40" t="s">
        <v>51</v>
      </c>
      <c r="G151" s="40" t="s">
        <v>8</v>
      </c>
      <c r="H151" s="40" t="s">
        <v>52</v>
      </c>
      <c r="I151" s="57">
        <v>2024</v>
      </c>
      <c r="J151" s="57">
        <v>9</v>
      </c>
      <c r="K151" s="29">
        <v>45597</v>
      </c>
      <c r="L151" s="66"/>
      <c r="M151" s="68">
        <v>0.21</v>
      </c>
      <c r="N151" s="68">
        <v>0.245</v>
      </c>
      <c r="O151" s="68">
        <v>3.5000000000000003E-2</v>
      </c>
      <c r="P151" s="68">
        <f>L151*O151</f>
        <v>0</v>
      </c>
      <c r="Q151" s="100">
        <v>1</v>
      </c>
      <c r="R151" s="104">
        <f t="shared" si="82"/>
        <v>0.21</v>
      </c>
      <c r="S151" s="73">
        <v>100000</v>
      </c>
      <c r="T151" s="77">
        <v>125950</v>
      </c>
      <c r="U151" s="78">
        <v>1120000</v>
      </c>
      <c r="V151" s="78">
        <f t="shared" ref="V151:V166" si="132">U151-O151*T151</f>
        <v>1115591.75</v>
      </c>
      <c r="W151" s="57" t="s">
        <v>53</v>
      </c>
      <c r="X151" s="128" t="s">
        <v>82</v>
      </c>
      <c r="Y151" s="79">
        <v>2.6</v>
      </c>
      <c r="Z151" s="79"/>
      <c r="AA151" s="79"/>
      <c r="AB151" s="80"/>
      <c r="AC151" s="78">
        <f t="shared" ref="AC151:AC166" si="133">N151*S151</f>
        <v>24500</v>
      </c>
      <c r="AD151" s="83">
        <v>0</v>
      </c>
      <c r="AE151" s="77">
        <f t="shared" ref="AE151:AE166" si="134">S151*Y151/1000</f>
        <v>260</v>
      </c>
      <c r="AF151" s="84"/>
    </row>
    <row r="152" spans="2:32" s="43" customFormat="1" hidden="1">
      <c r="B152" s="17" t="s">
        <v>7</v>
      </c>
      <c r="C152" s="40" t="s">
        <v>16</v>
      </c>
      <c r="D152" s="40" t="s">
        <v>91</v>
      </c>
      <c r="E152" s="91" t="s">
        <v>92</v>
      </c>
      <c r="F152" s="40" t="s">
        <v>51</v>
      </c>
      <c r="G152" s="40" t="s">
        <v>8</v>
      </c>
      <c r="H152" s="40" t="s">
        <v>52</v>
      </c>
      <c r="I152" s="57">
        <v>2024</v>
      </c>
      <c r="J152" s="57">
        <v>8</v>
      </c>
      <c r="K152" s="29">
        <v>45597</v>
      </c>
      <c r="L152" s="66"/>
      <c r="M152" s="68">
        <v>0.21</v>
      </c>
      <c r="N152" s="68">
        <v>0.245</v>
      </c>
      <c r="O152" s="68">
        <v>3.5000000000000003E-2</v>
      </c>
      <c r="P152" s="68">
        <f>L152*O152</f>
        <v>0</v>
      </c>
      <c r="Q152" s="100">
        <v>1</v>
      </c>
      <c r="R152" s="104">
        <f t="shared" si="82"/>
        <v>0.21</v>
      </c>
      <c r="S152" s="73">
        <v>25950</v>
      </c>
      <c r="T152" s="77">
        <f>S152</f>
        <v>25950</v>
      </c>
      <c r="U152" s="78">
        <v>1120000</v>
      </c>
      <c r="V152" s="78">
        <f t="shared" si="132"/>
        <v>1119091.75</v>
      </c>
      <c r="W152" s="57" t="s">
        <v>53</v>
      </c>
      <c r="X152" s="128" t="s">
        <v>82</v>
      </c>
      <c r="Y152" s="79">
        <v>2.6</v>
      </c>
      <c r="Z152" s="79"/>
      <c r="AA152" s="79"/>
      <c r="AB152" s="80"/>
      <c r="AC152" s="78">
        <f t="shared" si="133"/>
        <v>6357.75</v>
      </c>
      <c r="AD152" s="83"/>
      <c r="AE152" s="77">
        <f t="shared" si="134"/>
        <v>67.47</v>
      </c>
      <c r="AF152" s="84"/>
    </row>
    <row r="153" spans="2:32" s="43" customFormat="1">
      <c r="B153" s="17" t="s">
        <v>10</v>
      </c>
      <c r="C153" s="40" t="str">
        <f>VLOOKUP(B153,[1]Sheet1!$A:$B,2,0)</f>
        <v>RCS DEVICE</v>
      </c>
      <c r="D153" s="40" t="s">
        <v>93</v>
      </c>
      <c r="E153" s="91" t="s">
        <v>94</v>
      </c>
      <c r="F153" s="40" t="s">
        <v>51</v>
      </c>
      <c r="G153" s="40"/>
      <c r="H153" s="40" t="s">
        <v>52</v>
      </c>
      <c r="I153" s="57">
        <v>2025</v>
      </c>
      <c r="J153" s="57">
        <v>2</v>
      </c>
      <c r="K153" s="29">
        <v>45722</v>
      </c>
      <c r="L153" s="66"/>
      <c r="M153" s="68">
        <v>1.536</v>
      </c>
      <c r="N153" s="68">
        <v>1.5907500000000001</v>
      </c>
      <c r="O153" s="68">
        <v>5.475E-2</v>
      </c>
      <c r="P153" s="68"/>
      <c r="Q153" s="100">
        <v>1</v>
      </c>
      <c r="R153" s="104">
        <f t="shared" ref="R153" si="135">Q153*M153</f>
        <v>1.536</v>
      </c>
      <c r="S153" s="73">
        <v>0</v>
      </c>
      <c r="T153" s="144">
        <v>0</v>
      </c>
      <c r="U153" s="136">
        <v>219000</v>
      </c>
      <c r="V153" s="136">
        <f t="shared" si="132"/>
        <v>219000</v>
      </c>
      <c r="W153" s="57" t="s">
        <v>53</v>
      </c>
      <c r="X153" s="128" t="s">
        <v>54</v>
      </c>
      <c r="Y153" s="79">
        <v>4.5999999999999996</v>
      </c>
      <c r="Z153" s="79"/>
      <c r="AA153" s="79" t="s">
        <v>95</v>
      </c>
      <c r="AB153" s="76">
        <v>0.62</v>
      </c>
      <c r="AC153" s="78"/>
      <c r="AD153" s="83"/>
      <c r="AE153" s="77"/>
      <c r="AF153" s="84"/>
    </row>
    <row r="154" spans="2:32" s="43" customFormat="1" hidden="1">
      <c r="B154" s="17" t="s">
        <v>10</v>
      </c>
      <c r="C154" s="40" t="str">
        <f>VLOOKUP(B154,[1]Sheet1!$A:$B,2,0)</f>
        <v>RCS DEVICE</v>
      </c>
      <c r="D154" s="40" t="s">
        <v>93</v>
      </c>
      <c r="E154" s="91" t="s">
        <v>94</v>
      </c>
      <c r="F154" s="40" t="s">
        <v>51</v>
      </c>
      <c r="G154" s="40"/>
      <c r="H154" s="40" t="s">
        <v>52</v>
      </c>
      <c r="I154" s="57">
        <v>2025</v>
      </c>
      <c r="J154" s="57">
        <v>1</v>
      </c>
      <c r="K154" s="29">
        <v>45705</v>
      </c>
      <c r="L154" s="66"/>
      <c r="M154" s="68">
        <v>1.536</v>
      </c>
      <c r="N154" s="68">
        <v>1.5907500000000001</v>
      </c>
      <c r="O154" s="68">
        <v>5.475E-2</v>
      </c>
      <c r="P154" s="68"/>
      <c r="Q154" s="100">
        <v>1</v>
      </c>
      <c r="R154" s="104">
        <f t="shared" si="82"/>
        <v>1.536</v>
      </c>
      <c r="S154" s="73">
        <v>0</v>
      </c>
      <c r="T154" s="77">
        <v>0</v>
      </c>
      <c r="U154" s="78">
        <v>219000</v>
      </c>
      <c r="V154" s="78">
        <f t="shared" ref="V154" si="136">U154-O154*T154</f>
        <v>219000</v>
      </c>
      <c r="W154" s="57" t="s">
        <v>53</v>
      </c>
      <c r="X154" s="128" t="s">
        <v>54</v>
      </c>
      <c r="Y154" s="79">
        <v>4.5999999999999996</v>
      </c>
      <c r="Z154" s="79"/>
      <c r="AA154" s="79" t="s">
        <v>95</v>
      </c>
      <c r="AB154" s="76">
        <v>0.62</v>
      </c>
      <c r="AC154" s="78"/>
      <c r="AD154" s="83"/>
      <c r="AE154" s="77"/>
      <c r="AF154" s="84"/>
    </row>
    <row r="155" spans="2:32" s="43" customFormat="1" hidden="1">
      <c r="B155" s="17" t="s">
        <v>10</v>
      </c>
      <c r="C155" s="40" t="str">
        <f>VLOOKUP(B155,[1]Sheet1!$A:$B,2,0)</f>
        <v>RCS DEVICE</v>
      </c>
      <c r="D155" s="40" t="s">
        <v>93</v>
      </c>
      <c r="E155" s="91" t="s">
        <v>94</v>
      </c>
      <c r="F155" s="40" t="s">
        <v>51</v>
      </c>
      <c r="G155" s="40"/>
      <c r="H155" s="40" t="s">
        <v>52</v>
      </c>
      <c r="I155" s="57">
        <v>2024</v>
      </c>
      <c r="J155" s="57">
        <v>12</v>
      </c>
      <c r="K155" s="29">
        <v>45665</v>
      </c>
      <c r="L155" s="66"/>
      <c r="M155" s="68">
        <v>1.536</v>
      </c>
      <c r="N155" s="68">
        <v>1.5907500000000001</v>
      </c>
      <c r="O155" s="68">
        <v>5.475E-2</v>
      </c>
      <c r="P155" s="68"/>
      <c r="Q155" s="100">
        <v>1</v>
      </c>
      <c r="R155" s="104">
        <f t="shared" ref="R155" si="137">Q155*M155</f>
        <v>1.536</v>
      </c>
      <c r="S155" s="73">
        <v>0</v>
      </c>
      <c r="T155" s="77">
        <v>0</v>
      </c>
      <c r="U155" s="78">
        <v>219000</v>
      </c>
      <c r="V155" s="78">
        <f t="shared" si="132"/>
        <v>219000</v>
      </c>
      <c r="W155" s="57" t="s">
        <v>53</v>
      </c>
      <c r="X155" s="128" t="s">
        <v>54</v>
      </c>
      <c r="Y155" s="79">
        <v>4.5999999999999996</v>
      </c>
      <c r="Z155" s="79"/>
      <c r="AA155" s="79" t="s">
        <v>95</v>
      </c>
      <c r="AB155" s="76">
        <v>0.62</v>
      </c>
      <c r="AC155" s="78"/>
      <c r="AD155" s="83"/>
      <c r="AE155" s="77"/>
      <c r="AF155" s="84"/>
    </row>
    <row r="156" spans="2:32" s="43" customFormat="1" hidden="1">
      <c r="B156" s="17" t="s">
        <v>10</v>
      </c>
      <c r="C156" s="40" t="str">
        <f>VLOOKUP(B156,[1]Sheet1!$A:$B,2,0)</f>
        <v>RCS DEVICE</v>
      </c>
      <c r="D156" s="40" t="s">
        <v>93</v>
      </c>
      <c r="E156" s="91" t="s">
        <v>94</v>
      </c>
      <c r="F156" s="40" t="s">
        <v>51</v>
      </c>
      <c r="G156" s="40"/>
      <c r="H156" s="40" t="s">
        <v>52</v>
      </c>
      <c r="I156" s="57">
        <v>2024</v>
      </c>
      <c r="J156" s="57">
        <v>11</v>
      </c>
      <c r="K156" s="29">
        <v>45629</v>
      </c>
      <c r="L156" s="66"/>
      <c r="M156" s="68">
        <v>1.536</v>
      </c>
      <c r="N156" s="68">
        <v>1.5907500000000001</v>
      </c>
      <c r="O156" s="68">
        <v>5.475E-2</v>
      </c>
      <c r="P156" s="68">
        <f>L156*O156</f>
        <v>0</v>
      </c>
      <c r="Q156" s="100">
        <v>1</v>
      </c>
      <c r="R156" s="104">
        <f t="shared" si="82"/>
        <v>1.536</v>
      </c>
      <c r="S156" s="73">
        <v>0</v>
      </c>
      <c r="T156" s="77">
        <v>0</v>
      </c>
      <c r="U156" s="78">
        <v>219000</v>
      </c>
      <c r="V156" s="78">
        <f t="shared" ref="V156" si="138">U156-O156*T156</f>
        <v>219000</v>
      </c>
      <c r="W156" s="57" t="s">
        <v>53</v>
      </c>
      <c r="X156" s="128" t="s">
        <v>54</v>
      </c>
      <c r="Y156" s="79">
        <v>4.5999999999999996</v>
      </c>
      <c r="Z156" s="79"/>
      <c r="AA156" s="79" t="s">
        <v>95</v>
      </c>
      <c r="AB156" s="76">
        <v>0.62</v>
      </c>
      <c r="AC156" s="78"/>
      <c r="AD156" s="83"/>
      <c r="AE156" s="77"/>
      <c r="AF156" s="84"/>
    </row>
    <row r="157" spans="2:32" s="43" customFormat="1" hidden="1">
      <c r="B157" s="17" t="s">
        <v>10</v>
      </c>
      <c r="C157" s="40" t="str">
        <f>VLOOKUP(B157,[1]Sheet1!$A:$B,2,0)</f>
        <v>RCS DEVICE</v>
      </c>
      <c r="D157" s="40" t="s">
        <v>93</v>
      </c>
      <c r="E157" s="91" t="s">
        <v>94</v>
      </c>
      <c r="F157" s="40" t="s">
        <v>51</v>
      </c>
      <c r="G157" s="40"/>
      <c r="H157" s="40" t="s">
        <v>52</v>
      </c>
      <c r="I157" s="57">
        <v>2024</v>
      </c>
      <c r="J157" s="57">
        <v>9</v>
      </c>
      <c r="K157" s="29">
        <v>45597</v>
      </c>
      <c r="L157" s="66"/>
      <c r="M157" s="68">
        <v>1.536</v>
      </c>
      <c r="N157" s="68">
        <v>1.5907500000000001</v>
      </c>
      <c r="O157" s="68">
        <v>5.475E-2</v>
      </c>
      <c r="P157" s="68">
        <f>L157*O157</f>
        <v>0</v>
      </c>
      <c r="Q157" s="100">
        <v>1</v>
      </c>
      <c r="R157" s="104">
        <f t="shared" si="82"/>
        <v>1.536</v>
      </c>
      <c r="S157" s="73">
        <v>0</v>
      </c>
      <c r="T157" s="77">
        <v>0</v>
      </c>
      <c r="U157" s="78">
        <v>219000</v>
      </c>
      <c r="V157" s="78">
        <f t="shared" si="132"/>
        <v>219000</v>
      </c>
      <c r="W157" s="57" t="s">
        <v>53</v>
      </c>
      <c r="X157" s="128" t="s">
        <v>54</v>
      </c>
      <c r="Y157" s="79">
        <v>4.5999999999999996</v>
      </c>
      <c r="Z157" s="79"/>
      <c r="AA157" s="79" t="s">
        <v>95</v>
      </c>
      <c r="AB157" s="76">
        <v>0.62</v>
      </c>
      <c r="AC157" s="78">
        <f t="shared" si="133"/>
        <v>0</v>
      </c>
      <c r="AD157" s="83">
        <v>0</v>
      </c>
      <c r="AE157" s="77">
        <f t="shared" si="134"/>
        <v>0</v>
      </c>
      <c r="AF157" s="84"/>
    </row>
    <row r="158" spans="2:32" s="43" customFormat="1">
      <c r="B158" s="17" t="s">
        <v>11</v>
      </c>
      <c r="C158" s="40" t="s">
        <v>16</v>
      </c>
      <c r="D158" s="40" t="s">
        <v>63</v>
      </c>
      <c r="E158" s="91" t="s">
        <v>96</v>
      </c>
      <c r="F158" s="40" t="s">
        <v>51</v>
      </c>
      <c r="G158" s="40"/>
      <c r="H158" s="40" t="s">
        <v>52</v>
      </c>
      <c r="I158" s="57">
        <v>2025</v>
      </c>
      <c r="J158" s="57">
        <v>2</v>
      </c>
      <c r="K158" s="29">
        <v>45722</v>
      </c>
      <c r="L158" s="66"/>
      <c r="M158" s="132">
        <v>0.1188</v>
      </c>
      <c r="N158" s="68">
        <f>M158+O158</f>
        <v>0.13439999999999999</v>
      </c>
      <c r="O158" s="68">
        <v>1.5599999999999999E-2</v>
      </c>
      <c r="P158" s="68"/>
      <c r="Q158" s="100">
        <v>1</v>
      </c>
      <c r="R158" s="104">
        <f t="shared" ref="R158:R161" si="139">Q158*M158</f>
        <v>0.1188</v>
      </c>
      <c r="S158" s="73">
        <v>180000</v>
      </c>
      <c r="T158" s="144">
        <f>T162+S158+S159+S160+S161</f>
        <v>21432693</v>
      </c>
      <c r="U158" s="136">
        <v>1043805</v>
      </c>
      <c r="V158" s="136">
        <f t="shared" si="132"/>
        <v>709454.98919999995</v>
      </c>
      <c r="W158" s="57" t="s">
        <v>53</v>
      </c>
      <c r="X158" s="128" t="s">
        <v>59</v>
      </c>
      <c r="Y158" s="79">
        <v>2.9</v>
      </c>
      <c r="Z158" s="79"/>
      <c r="AA158" s="79"/>
      <c r="AB158" s="76"/>
      <c r="AC158" s="78">
        <f t="shared" si="133"/>
        <v>24192</v>
      </c>
      <c r="AD158" s="83"/>
      <c r="AE158" s="77">
        <f t="shared" si="134"/>
        <v>522</v>
      </c>
      <c r="AF158" s="84"/>
    </row>
    <row r="159" spans="2:32" s="43" customFormat="1">
      <c r="B159" s="17" t="s">
        <v>11</v>
      </c>
      <c r="C159" s="40" t="s">
        <v>16</v>
      </c>
      <c r="D159" s="40" t="s">
        <v>63</v>
      </c>
      <c r="E159" s="91" t="s">
        <v>96</v>
      </c>
      <c r="F159" s="40" t="s">
        <v>51</v>
      </c>
      <c r="G159" s="40"/>
      <c r="H159" s="40" t="s">
        <v>52</v>
      </c>
      <c r="I159" s="57">
        <v>2025</v>
      </c>
      <c r="J159" s="57">
        <v>2</v>
      </c>
      <c r="K159" s="29">
        <v>45722</v>
      </c>
      <c r="L159" s="66"/>
      <c r="M159" s="68">
        <v>0.1188</v>
      </c>
      <c r="N159" s="68">
        <f>M159+O159</f>
        <v>0.13439999999999999</v>
      </c>
      <c r="O159" s="68">
        <v>1.5599999999999999E-2</v>
      </c>
      <c r="P159" s="68"/>
      <c r="Q159" s="100">
        <v>1</v>
      </c>
      <c r="R159" s="104">
        <f t="shared" si="139"/>
        <v>0.1188</v>
      </c>
      <c r="S159" s="73">
        <v>62988</v>
      </c>
      <c r="T159" s="144"/>
      <c r="U159" s="136"/>
      <c r="V159" s="136"/>
      <c r="W159" s="57" t="s">
        <v>53</v>
      </c>
      <c r="X159" s="128" t="s">
        <v>97</v>
      </c>
      <c r="Y159" s="79">
        <v>2.9</v>
      </c>
      <c r="Z159" s="79"/>
      <c r="AA159" s="79"/>
      <c r="AB159" s="76"/>
      <c r="AC159" s="78">
        <f t="shared" si="133"/>
        <v>8465.5871999999999</v>
      </c>
      <c r="AD159" s="83"/>
      <c r="AE159" s="77">
        <f t="shared" si="134"/>
        <v>182.66519999999997</v>
      </c>
      <c r="AF159" s="84"/>
    </row>
    <row r="160" spans="2:32" s="43" customFormat="1">
      <c r="B160" s="17" t="s">
        <v>11</v>
      </c>
      <c r="C160" s="40" t="s">
        <v>16</v>
      </c>
      <c r="D160" s="40" t="s">
        <v>63</v>
      </c>
      <c r="E160" s="91" t="s">
        <v>96</v>
      </c>
      <c r="F160" s="40" t="s">
        <v>51</v>
      </c>
      <c r="G160" s="40"/>
      <c r="H160" s="40" t="s">
        <v>52</v>
      </c>
      <c r="I160" s="57">
        <v>2025</v>
      </c>
      <c r="J160" s="57">
        <v>2</v>
      </c>
      <c r="K160" s="29">
        <v>45722</v>
      </c>
      <c r="L160" s="66"/>
      <c r="M160" s="68">
        <v>0.1188</v>
      </c>
      <c r="N160" s="68">
        <f>M160+O160</f>
        <v>0.13439999999999999</v>
      </c>
      <c r="O160" s="68">
        <v>1.5599999999999999E-2</v>
      </c>
      <c r="P160" s="68"/>
      <c r="Q160" s="100">
        <v>1</v>
      </c>
      <c r="R160" s="104">
        <f t="shared" si="139"/>
        <v>0.1188</v>
      </c>
      <c r="S160" s="73">
        <v>336000</v>
      </c>
      <c r="T160" s="144"/>
      <c r="U160" s="136"/>
      <c r="V160" s="136"/>
      <c r="W160" s="57" t="s">
        <v>53</v>
      </c>
      <c r="X160" s="128" t="s">
        <v>60</v>
      </c>
      <c r="Y160" s="79">
        <v>2.9</v>
      </c>
      <c r="Z160" s="79"/>
      <c r="AA160" s="79"/>
      <c r="AB160" s="76"/>
      <c r="AC160" s="78">
        <f t="shared" si="133"/>
        <v>45158.399999999994</v>
      </c>
      <c r="AD160" s="83"/>
      <c r="AE160" s="77">
        <f t="shared" si="134"/>
        <v>974.4</v>
      </c>
      <c r="AF160" s="84"/>
    </row>
    <row r="161" spans="2:32" s="43" customFormat="1">
      <c r="B161" s="17" t="s">
        <v>11</v>
      </c>
      <c r="C161" s="40" t="s">
        <v>16</v>
      </c>
      <c r="D161" s="40" t="s">
        <v>63</v>
      </c>
      <c r="E161" s="91" t="s">
        <v>96</v>
      </c>
      <c r="F161" s="40" t="s">
        <v>51</v>
      </c>
      <c r="G161" s="40"/>
      <c r="H161" s="40" t="s">
        <v>52</v>
      </c>
      <c r="I161" s="57">
        <v>2025</v>
      </c>
      <c r="J161" s="57">
        <v>2</v>
      </c>
      <c r="K161" s="29">
        <v>45722</v>
      </c>
      <c r="L161" s="66"/>
      <c r="M161" s="68">
        <v>0.1188</v>
      </c>
      <c r="N161" s="68">
        <f>M161+O161</f>
        <v>0.13439999999999999</v>
      </c>
      <c r="O161" s="68">
        <v>1.5599999999999999E-2</v>
      </c>
      <c r="P161" s="68"/>
      <c r="Q161" s="100">
        <v>1</v>
      </c>
      <c r="R161" s="104">
        <f t="shared" si="139"/>
        <v>0.1188</v>
      </c>
      <c r="S161" s="73">
        <v>100000</v>
      </c>
      <c r="T161" s="144"/>
      <c r="U161" s="136"/>
      <c r="V161" s="136"/>
      <c r="W161" s="57" t="s">
        <v>53</v>
      </c>
      <c r="X161" s="128" t="s">
        <v>98</v>
      </c>
      <c r="Y161" s="79">
        <v>2.9</v>
      </c>
      <c r="Z161" s="79"/>
      <c r="AA161" s="79"/>
      <c r="AB161" s="76"/>
      <c r="AC161" s="78">
        <f t="shared" si="133"/>
        <v>13440</v>
      </c>
      <c r="AD161" s="83"/>
      <c r="AE161" s="77">
        <f t="shared" si="134"/>
        <v>290</v>
      </c>
      <c r="AF161" s="84"/>
    </row>
    <row r="162" spans="2:32" s="43" customFormat="1" hidden="1">
      <c r="B162" s="17" t="s">
        <v>11</v>
      </c>
      <c r="C162" s="40" t="s">
        <v>16</v>
      </c>
      <c r="D162" s="40" t="s">
        <v>63</v>
      </c>
      <c r="E162" s="91" t="s">
        <v>96</v>
      </c>
      <c r="F162" s="40" t="s">
        <v>51</v>
      </c>
      <c r="G162" s="40"/>
      <c r="H162" s="40" t="s">
        <v>52</v>
      </c>
      <c r="I162" s="57">
        <v>2025</v>
      </c>
      <c r="J162" s="57">
        <v>1</v>
      </c>
      <c r="K162" s="29">
        <v>45705</v>
      </c>
      <c r="L162" s="66"/>
      <c r="M162" s="68">
        <v>0.1348</v>
      </c>
      <c r="N162" s="67">
        <f t="shared" ref="N162:N163" si="140">M162+O162</f>
        <v>0.15040000000000001</v>
      </c>
      <c r="O162" s="67">
        <v>1.5599999999999999E-2</v>
      </c>
      <c r="P162" s="68"/>
      <c r="Q162" s="100">
        <v>1</v>
      </c>
      <c r="R162" s="104">
        <f t="shared" si="82"/>
        <v>0.1348</v>
      </c>
      <c r="S162" s="73">
        <v>101973</v>
      </c>
      <c r="T162" s="77">
        <f>T164+S162+S163</f>
        <v>20753705</v>
      </c>
      <c r="U162" s="78">
        <v>1043805</v>
      </c>
      <c r="V162" s="78">
        <f t="shared" ref="V162" si="141">U162-O162*T162</f>
        <v>720047.20200000005</v>
      </c>
      <c r="W162" s="57" t="s">
        <v>53</v>
      </c>
      <c r="X162" s="128" t="s">
        <v>99</v>
      </c>
      <c r="Y162" s="79">
        <v>2.9</v>
      </c>
      <c r="Z162" s="79"/>
      <c r="AA162" s="79"/>
      <c r="AB162" s="76"/>
      <c r="AC162" s="78">
        <f t="shared" ref="AC162:AC163" si="142">N162*S162</f>
        <v>15336.7392</v>
      </c>
      <c r="AD162" s="83"/>
      <c r="AE162" s="77">
        <f t="shared" ref="AE162:AE163" si="143">S162*Y162/1000</f>
        <v>295.7217</v>
      </c>
      <c r="AF162" s="84"/>
    </row>
    <row r="163" spans="2:32" s="43" customFormat="1" hidden="1">
      <c r="B163" s="17" t="s">
        <v>11</v>
      </c>
      <c r="C163" s="40" t="s">
        <v>16</v>
      </c>
      <c r="D163" s="40" t="s">
        <v>63</v>
      </c>
      <c r="E163" s="91" t="s">
        <v>96</v>
      </c>
      <c r="F163" s="40" t="s">
        <v>51</v>
      </c>
      <c r="G163" s="40"/>
      <c r="H163" s="40" t="s">
        <v>52</v>
      </c>
      <c r="I163" s="57">
        <v>2025</v>
      </c>
      <c r="J163" s="57">
        <v>1</v>
      </c>
      <c r="K163" s="29">
        <v>45705</v>
      </c>
      <c r="L163" s="66"/>
      <c r="M163" s="68">
        <v>0.1348</v>
      </c>
      <c r="N163" s="67">
        <f t="shared" si="140"/>
        <v>0.15040000000000001</v>
      </c>
      <c r="O163" s="67">
        <v>1.5599999999999999E-2</v>
      </c>
      <c r="P163" s="68"/>
      <c r="Q163" s="100">
        <v>1</v>
      </c>
      <c r="R163" s="104">
        <f t="shared" ref="R163" si="144">Q163*M163</f>
        <v>0.1348</v>
      </c>
      <c r="S163" s="73">
        <v>254000</v>
      </c>
      <c r="T163" s="77"/>
      <c r="U163" s="78"/>
      <c r="V163" s="78"/>
      <c r="W163" s="57" t="s">
        <v>53</v>
      </c>
      <c r="X163" s="128" t="s">
        <v>60</v>
      </c>
      <c r="Y163" s="79">
        <v>2.9</v>
      </c>
      <c r="Z163" s="79"/>
      <c r="AA163" s="79"/>
      <c r="AB163" s="76"/>
      <c r="AC163" s="78">
        <f t="shared" si="142"/>
        <v>38201.599999999999</v>
      </c>
      <c r="AD163" s="83"/>
      <c r="AE163" s="77">
        <f t="shared" si="143"/>
        <v>736.6</v>
      </c>
      <c r="AF163" s="84"/>
    </row>
    <row r="164" spans="2:32" s="43" customFormat="1" hidden="1">
      <c r="B164" s="17" t="s">
        <v>11</v>
      </c>
      <c r="C164" s="40" t="s">
        <v>16</v>
      </c>
      <c r="D164" s="40" t="s">
        <v>63</v>
      </c>
      <c r="E164" s="91" t="s">
        <v>96</v>
      </c>
      <c r="F164" s="40" t="s">
        <v>51</v>
      </c>
      <c r="G164" s="40"/>
      <c r="H164" s="40" t="s">
        <v>52</v>
      </c>
      <c r="I164" s="57">
        <v>2024</v>
      </c>
      <c r="J164" s="57">
        <v>12</v>
      </c>
      <c r="K164" s="29">
        <v>45665</v>
      </c>
      <c r="L164" s="66"/>
      <c r="M164" s="68">
        <v>0.1348</v>
      </c>
      <c r="N164" s="67">
        <f t="shared" ref="N164" si="145">M164+O164</f>
        <v>0.15040000000000001</v>
      </c>
      <c r="O164" s="67">
        <v>1.5599999999999999E-2</v>
      </c>
      <c r="P164" s="68"/>
      <c r="Q164" s="100">
        <v>1</v>
      </c>
      <c r="R164" s="104">
        <f t="shared" ref="R164" si="146">Q164*M164</f>
        <v>0.1348</v>
      </c>
      <c r="S164" s="73">
        <v>217000</v>
      </c>
      <c r="T164" s="77">
        <f>S164+T165</f>
        <v>20397732</v>
      </c>
      <c r="U164" s="78">
        <v>1043805</v>
      </c>
      <c r="V164" s="78">
        <f t="shared" si="132"/>
        <v>725600.38080000004</v>
      </c>
      <c r="W164" s="57" t="s">
        <v>53</v>
      </c>
      <c r="X164" s="128" t="s">
        <v>100</v>
      </c>
      <c r="Y164" s="79">
        <v>2.9</v>
      </c>
      <c r="Z164" s="79"/>
      <c r="AA164" s="79"/>
      <c r="AB164" s="76"/>
      <c r="AC164" s="78">
        <f t="shared" si="133"/>
        <v>32636.800000000003</v>
      </c>
      <c r="AD164" s="83"/>
      <c r="AE164" s="77">
        <f t="shared" si="134"/>
        <v>629.29999999999995</v>
      </c>
      <c r="AF164" s="84"/>
    </row>
    <row r="165" spans="2:32" s="43" customFormat="1" hidden="1">
      <c r="B165" s="17" t="s">
        <v>11</v>
      </c>
      <c r="C165" s="40" t="s">
        <v>16</v>
      </c>
      <c r="D165" s="40" t="s">
        <v>63</v>
      </c>
      <c r="E165" s="91" t="s">
        <v>96</v>
      </c>
      <c r="F165" s="40" t="s">
        <v>51</v>
      </c>
      <c r="G165" s="40"/>
      <c r="H165" s="40" t="s">
        <v>52</v>
      </c>
      <c r="I165" s="57">
        <v>2024</v>
      </c>
      <c r="J165" s="57">
        <v>11</v>
      </c>
      <c r="K165" s="29">
        <v>45629</v>
      </c>
      <c r="L165" s="66"/>
      <c r="M165" s="68">
        <v>0.1348</v>
      </c>
      <c r="N165" s="67">
        <f t="shared" ref="N165:N196" si="147">M165+O165</f>
        <v>0.15040000000000001</v>
      </c>
      <c r="O165" s="67">
        <v>1.5599999999999999E-2</v>
      </c>
      <c r="P165" s="68"/>
      <c r="Q165" s="100">
        <v>1</v>
      </c>
      <c r="R165" s="104">
        <f t="shared" si="82"/>
        <v>0.1348</v>
      </c>
      <c r="S165" s="73">
        <v>755000</v>
      </c>
      <c r="T165" s="77">
        <f>S165+T166</f>
        <v>20180732</v>
      </c>
      <c r="U165" s="78">
        <v>1043805</v>
      </c>
      <c r="V165" s="78">
        <f t="shared" ref="V165" si="148">U165-O165*T165</f>
        <v>728985.5808</v>
      </c>
      <c r="W165" s="57" t="s">
        <v>53</v>
      </c>
      <c r="X165" s="128" t="s">
        <v>100</v>
      </c>
      <c r="Y165" s="79">
        <v>2.9</v>
      </c>
      <c r="Z165" s="79"/>
      <c r="AA165" s="79"/>
      <c r="AB165" s="76"/>
      <c r="AC165" s="78">
        <f t="shared" ref="AC165" si="149">N165*S165</f>
        <v>113552</v>
      </c>
      <c r="AD165" s="83"/>
      <c r="AE165" s="77">
        <f t="shared" ref="AE165" si="150">S165*Y165/1000</f>
        <v>2189.5</v>
      </c>
      <c r="AF165" s="84"/>
    </row>
    <row r="166" spans="2:32" s="43" customFormat="1" hidden="1">
      <c r="B166" s="17" t="s">
        <v>11</v>
      </c>
      <c r="C166" s="40" t="s">
        <v>16</v>
      </c>
      <c r="D166" s="40" t="s">
        <v>63</v>
      </c>
      <c r="E166" s="91" t="s">
        <v>96</v>
      </c>
      <c r="F166" s="40" t="s">
        <v>51</v>
      </c>
      <c r="G166" s="40"/>
      <c r="H166" s="40" t="s">
        <v>52</v>
      </c>
      <c r="I166" s="57">
        <v>2024</v>
      </c>
      <c r="J166" s="57">
        <v>10</v>
      </c>
      <c r="K166" s="29">
        <v>45601</v>
      </c>
      <c r="L166" s="66"/>
      <c r="M166" s="68">
        <v>0.1348</v>
      </c>
      <c r="N166" s="67">
        <f t="shared" si="147"/>
        <v>0.15040000000000001</v>
      </c>
      <c r="O166" s="67">
        <v>1.5599999999999999E-2</v>
      </c>
      <c r="P166" s="68"/>
      <c r="Q166" s="100">
        <v>1</v>
      </c>
      <c r="R166" s="104">
        <f t="shared" si="82"/>
        <v>0.1348</v>
      </c>
      <c r="S166" s="73">
        <v>1381041</v>
      </c>
      <c r="T166" s="77">
        <f>S166+T167</f>
        <v>19425732</v>
      </c>
      <c r="U166" s="78">
        <v>1043805</v>
      </c>
      <c r="V166" s="78">
        <f t="shared" si="132"/>
        <v>740763.5808</v>
      </c>
      <c r="W166" s="57" t="s">
        <v>53</v>
      </c>
      <c r="X166" s="128" t="s">
        <v>100</v>
      </c>
      <c r="Y166" s="79">
        <v>2.9</v>
      </c>
      <c r="Z166" s="79"/>
      <c r="AA166" s="79"/>
      <c r="AB166" s="76"/>
      <c r="AC166" s="78">
        <f t="shared" si="133"/>
        <v>207708.56640000001</v>
      </c>
      <c r="AD166" s="83"/>
      <c r="AE166" s="77">
        <f t="shared" si="134"/>
        <v>4005.0189</v>
      </c>
      <c r="AF166" s="84"/>
    </row>
    <row r="167" spans="2:32" s="43" customFormat="1" hidden="1">
      <c r="B167" s="17" t="s">
        <v>11</v>
      </c>
      <c r="C167" s="40" t="str">
        <f>VLOOKUP(B167,[1]Sheet1!$A:$B,2,0)</f>
        <v>MODI</v>
      </c>
      <c r="D167" s="40" t="s">
        <v>63</v>
      </c>
      <c r="E167" s="91" t="s">
        <v>96</v>
      </c>
      <c r="F167" s="40" t="s">
        <v>51</v>
      </c>
      <c r="G167" s="40"/>
      <c r="H167" s="40" t="s">
        <v>52</v>
      </c>
      <c r="I167" s="57">
        <v>2024</v>
      </c>
      <c r="J167" s="57">
        <v>9</v>
      </c>
      <c r="K167" s="29">
        <v>45597</v>
      </c>
      <c r="L167" s="66"/>
      <c r="M167" s="68">
        <v>0.1348</v>
      </c>
      <c r="N167" s="67">
        <f t="shared" si="147"/>
        <v>0.15040000000000001</v>
      </c>
      <c r="O167" s="67">
        <v>1.5599999999999999E-2</v>
      </c>
      <c r="P167" s="68">
        <f t="shared" ref="P167:P177" si="151">L167*O167</f>
        <v>0</v>
      </c>
      <c r="Q167" s="100">
        <v>1</v>
      </c>
      <c r="R167" s="104">
        <f t="shared" si="82"/>
        <v>0.1348</v>
      </c>
      <c r="S167" s="73">
        <v>2848887</v>
      </c>
      <c r="T167" s="77">
        <v>18044691</v>
      </c>
      <c r="U167" s="78">
        <v>1043805</v>
      </c>
      <c r="V167" s="78">
        <f>U167-O167*T167</f>
        <v>762307.82040000008</v>
      </c>
      <c r="W167" s="57" t="s">
        <v>53</v>
      </c>
      <c r="X167" s="128" t="s">
        <v>100</v>
      </c>
      <c r="Y167" s="79">
        <v>2.9</v>
      </c>
      <c r="Z167" s="79"/>
      <c r="AA167" s="79"/>
      <c r="AB167" s="80"/>
      <c r="AC167" s="78">
        <f>N167*S167</f>
        <v>428472.60480000003</v>
      </c>
      <c r="AD167" s="83">
        <v>0</v>
      </c>
      <c r="AE167" s="77">
        <f>S167*Y167/1000</f>
        <v>8261.7723000000005</v>
      </c>
      <c r="AF167" s="96" t="s">
        <v>101</v>
      </c>
    </row>
    <row r="168" spans="2:32" s="43" customFormat="1" hidden="1">
      <c r="B168" s="17" t="s">
        <v>11</v>
      </c>
      <c r="C168" s="40" t="s">
        <v>16</v>
      </c>
      <c r="D168" s="40" t="s">
        <v>63</v>
      </c>
      <c r="E168" s="91" t="s">
        <v>96</v>
      </c>
      <c r="F168" s="40" t="s">
        <v>51</v>
      </c>
      <c r="G168" s="40"/>
      <c r="H168" s="40" t="s">
        <v>52</v>
      </c>
      <c r="I168" s="57">
        <v>2024</v>
      </c>
      <c r="J168" s="57">
        <v>8</v>
      </c>
      <c r="K168" s="29">
        <v>45597</v>
      </c>
      <c r="L168" s="66"/>
      <c r="M168" s="68">
        <v>0.1348</v>
      </c>
      <c r="N168" s="67">
        <f t="shared" si="147"/>
        <v>0.15040000000000001</v>
      </c>
      <c r="O168" s="67">
        <v>1.5599999999999999E-2</v>
      </c>
      <c r="P168" s="68">
        <f t="shared" si="151"/>
        <v>0</v>
      </c>
      <c r="Q168" s="100">
        <v>1</v>
      </c>
      <c r="R168" s="104">
        <f t="shared" si="82"/>
        <v>0.1348</v>
      </c>
      <c r="S168" s="73">
        <v>3446335</v>
      </c>
      <c r="T168" s="77">
        <f t="shared" ref="T168:T176" si="152">S168+T169</f>
        <v>15195804</v>
      </c>
      <c r="U168" s="78">
        <v>1043805</v>
      </c>
      <c r="V168" s="78">
        <f t="shared" ref="V168:V185" si="153">U168-O168*T168</f>
        <v>806750.45760000008</v>
      </c>
      <c r="W168" s="57" t="s">
        <v>53</v>
      </c>
      <c r="X168" s="128" t="s">
        <v>100</v>
      </c>
      <c r="Y168" s="79">
        <v>2.9</v>
      </c>
      <c r="Z168" s="79"/>
      <c r="AA168" s="79"/>
      <c r="AB168" s="80"/>
      <c r="AC168" s="78">
        <f t="shared" ref="AC168:AC185" si="154">N168*S168</f>
        <v>518328.78400000004</v>
      </c>
      <c r="AD168" s="83"/>
      <c r="AE168" s="77">
        <f t="shared" ref="AE168:AE185" si="155">S168*Y168/1000</f>
        <v>9994.3714999999993</v>
      </c>
      <c r="AF168" s="86"/>
    </row>
    <row r="169" spans="2:32" s="43" customFormat="1" hidden="1">
      <c r="B169" s="17" t="s">
        <v>11</v>
      </c>
      <c r="C169" s="40" t="s">
        <v>16</v>
      </c>
      <c r="D169" s="40" t="s">
        <v>63</v>
      </c>
      <c r="E169" s="91" t="s">
        <v>96</v>
      </c>
      <c r="F169" s="40" t="s">
        <v>51</v>
      </c>
      <c r="G169" s="40"/>
      <c r="H169" s="40" t="s">
        <v>52</v>
      </c>
      <c r="I169" s="57">
        <v>2024</v>
      </c>
      <c r="J169" s="57">
        <v>7</v>
      </c>
      <c r="K169" s="29">
        <v>45597</v>
      </c>
      <c r="L169" s="66"/>
      <c r="M169" s="68">
        <v>0.1348</v>
      </c>
      <c r="N169" s="67">
        <f t="shared" si="147"/>
        <v>0.15040000000000001</v>
      </c>
      <c r="O169" s="67">
        <v>1.5599999999999999E-2</v>
      </c>
      <c r="P169" s="68">
        <f t="shared" si="151"/>
        <v>0</v>
      </c>
      <c r="Q169" s="100">
        <v>1</v>
      </c>
      <c r="R169" s="104">
        <f t="shared" si="82"/>
        <v>0.1348</v>
      </c>
      <c r="S169" s="73">
        <v>4104721</v>
      </c>
      <c r="T169" s="77">
        <f t="shared" si="152"/>
        <v>11749469</v>
      </c>
      <c r="U169" s="78">
        <v>1043805</v>
      </c>
      <c r="V169" s="78">
        <f t="shared" si="153"/>
        <v>860513.28359999997</v>
      </c>
      <c r="W169" s="57" t="s">
        <v>53</v>
      </c>
      <c r="X169" s="128" t="s">
        <v>100</v>
      </c>
      <c r="Y169" s="79">
        <v>2.9</v>
      </c>
      <c r="Z169" s="79"/>
      <c r="AA169" s="79"/>
      <c r="AB169" s="80"/>
      <c r="AC169" s="78">
        <f t="shared" si="154"/>
        <v>617350.03840000008</v>
      </c>
      <c r="AD169" s="83"/>
      <c r="AE169" s="77">
        <f t="shared" si="155"/>
        <v>11903.6909</v>
      </c>
      <c r="AF169" s="86"/>
    </row>
    <row r="170" spans="2:32" s="43" customFormat="1" hidden="1">
      <c r="B170" s="17" t="s">
        <v>11</v>
      </c>
      <c r="C170" s="40" t="s">
        <v>16</v>
      </c>
      <c r="D170" s="40" t="s">
        <v>63</v>
      </c>
      <c r="E170" s="91" t="s">
        <v>96</v>
      </c>
      <c r="F170" s="40" t="s">
        <v>51</v>
      </c>
      <c r="G170" s="40"/>
      <c r="H170" s="40" t="s">
        <v>52</v>
      </c>
      <c r="I170" s="57">
        <v>2024</v>
      </c>
      <c r="J170" s="57">
        <v>6</v>
      </c>
      <c r="K170" s="29">
        <v>45597</v>
      </c>
      <c r="L170" s="66"/>
      <c r="M170" s="68">
        <v>0.1348</v>
      </c>
      <c r="N170" s="67">
        <f t="shared" si="147"/>
        <v>0.15040000000000001</v>
      </c>
      <c r="O170" s="67">
        <v>1.5599999999999999E-2</v>
      </c>
      <c r="P170" s="68">
        <f t="shared" si="151"/>
        <v>0</v>
      </c>
      <c r="Q170" s="100">
        <v>1</v>
      </c>
      <c r="R170" s="104">
        <f t="shared" si="82"/>
        <v>0.1348</v>
      </c>
      <c r="S170" s="73">
        <v>1898091</v>
      </c>
      <c r="T170" s="77">
        <f t="shared" si="152"/>
        <v>7644748</v>
      </c>
      <c r="U170" s="78">
        <v>1043805</v>
      </c>
      <c r="V170" s="78">
        <f t="shared" si="153"/>
        <v>924546.93119999999</v>
      </c>
      <c r="W170" s="57" t="s">
        <v>53</v>
      </c>
      <c r="X170" s="128" t="s">
        <v>100</v>
      </c>
      <c r="Y170" s="79">
        <v>2.9</v>
      </c>
      <c r="Z170" s="79"/>
      <c r="AA170" s="79"/>
      <c r="AB170" s="80"/>
      <c r="AC170" s="78">
        <f t="shared" si="154"/>
        <v>285472.88640000002</v>
      </c>
      <c r="AD170" s="83"/>
      <c r="AE170" s="77">
        <f t="shared" si="155"/>
        <v>5504.4638999999997</v>
      </c>
      <c r="AF170" s="86"/>
    </row>
    <row r="171" spans="2:32" s="43" customFormat="1" hidden="1">
      <c r="B171" s="17" t="s">
        <v>11</v>
      </c>
      <c r="C171" s="40" t="s">
        <v>16</v>
      </c>
      <c r="D171" s="40" t="s">
        <v>63</v>
      </c>
      <c r="E171" s="91" t="s">
        <v>96</v>
      </c>
      <c r="F171" s="40" t="s">
        <v>51</v>
      </c>
      <c r="G171" s="40"/>
      <c r="H171" s="40" t="s">
        <v>52</v>
      </c>
      <c r="I171" s="57">
        <v>2024</v>
      </c>
      <c r="J171" s="57">
        <v>5</v>
      </c>
      <c r="K171" s="29">
        <v>45597</v>
      </c>
      <c r="L171" s="66"/>
      <c r="M171" s="68">
        <v>0.1348</v>
      </c>
      <c r="N171" s="67">
        <f t="shared" si="147"/>
        <v>0.15040000000000001</v>
      </c>
      <c r="O171" s="67">
        <v>1.5599999999999999E-2</v>
      </c>
      <c r="P171" s="68">
        <f t="shared" si="151"/>
        <v>0</v>
      </c>
      <c r="Q171" s="100">
        <v>1</v>
      </c>
      <c r="R171" s="104">
        <f t="shared" si="82"/>
        <v>0.1348</v>
      </c>
      <c r="S171" s="73">
        <v>2473385</v>
      </c>
      <c r="T171" s="77">
        <f t="shared" si="152"/>
        <v>5746657</v>
      </c>
      <c r="U171" s="78">
        <v>1043805</v>
      </c>
      <c r="V171" s="78">
        <f t="shared" si="153"/>
        <v>954157.15079999994</v>
      </c>
      <c r="W171" s="57" t="s">
        <v>53</v>
      </c>
      <c r="X171" s="128" t="s">
        <v>100</v>
      </c>
      <c r="Y171" s="79">
        <v>2.9</v>
      </c>
      <c r="Z171" s="79"/>
      <c r="AA171" s="79"/>
      <c r="AB171" s="80"/>
      <c r="AC171" s="78">
        <f t="shared" si="154"/>
        <v>371997.10399999999</v>
      </c>
      <c r="AD171" s="83"/>
      <c r="AE171" s="77">
        <f t="shared" si="155"/>
        <v>7172.8164999999999</v>
      </c>
      <c r="AF171" s="86"/>
    </row>
    <row r="172" spans="2:32" s="43" customFormat="1" hidden="1">
      <c r="B172" s="17" t="s">
        <v>11</v>
      </c>
      <c r="C172" s="40" t="s">
        <v>16</v>
      </c>
      <c r="D172" s="40" t="s">
        <v>63</v>
      </c>
      <c r="E172" s="91" t="s">
        <v>96</v>
      </c>
      <c r="F172" s="40" t="s">
        <v>51</v>
      </c>
      <c r="G172" s="40"/>
      <c r="H172" s="40" t="s">
        <v>52</v>
      </c>
      <c r="I172" s="57">
        <v>2024</v>
      </c>
      <c r="J172" s="57">
        <v>4</v>
      </c>
      <c r="K172" s="29">
        <v>45597</v>
      </c>
      <c r="L172" s="66"/>
      <c r="M172" s="68">
        <v>0.1348</v>
      </c>
      <c r="N172" s="67">
        <f t="shared" si="147"/>
        <v>0.15040000000000001</v>
      </c>
      <c r="O172" s="67">
        <v>1.5599999999999999E-2</v>
      </c>
      <c r="P172" s="68">
        <f t="shared" si="151"/>
        <v>0</v>
      </c>
      <c r="Q172" s="100">
        <v>1</v>
      </c>
      <c r="R172" s="104">
        <f t="shared" si="82"/>
        <v>0.1348</v>
      </c>
      <c r="S172" s="73">
        <v>2226362</v>
      </c>
      <c r="T172" s="77">
        <f t="shared" si="152"/>
        <v>3273272</v>
      </c>
      <c r="U172" s="78">
        <v>1043805</v>
      </c>
      <c r="V172" s="78">
        <f t="shared" si="153"/>
        <v>992741.95680000004</v>
      </c>
      <c r="W172" s="57" t="s">
        <v>53</v>
      </c>
      <c r="X172" s="128" t="s">
        <v>100</v>
      </c>
      <c r="Y172" s="79">
        <v>2.9</v>
      </c>
      <c r="Z172" s="79"/>
      <c r="AA172" s="79"/>
      <c r="AB172" s="80"/>
      <c r="AC172" s="78">
        <f t="shared" si="154"/>
        <v>334844.84480000002</v>
      </c>
      <c r="AD172" s="83"/>
      <c r="AE172" s="77">
        <f t="shared" si="155"/>
        <v>6456.4497999999994</v>
      </c>
      <c r="AF172" s="86"/>
    </row>
    <row r="173" spans="2:32" s="43" customFormat="1" hidden="1">
      <c r="B173" s="17" t="s">
        <v>11</v>
      </c>
      <c r="C173" s="40" t="s">
        <v>16</v>
      </c>
      <c r="D173" s="40" t="s">
        <v>63</v>
      </c>
      <c r="E173" s="91" t="s">
        <v>96</v>
      </c>
      <c r="F173" s="40" t="s">
        <v>51</v>
      </c>
      <c r="G173" s="40"/>
      <c r="H173" s="40" t="s">
        <v>52</v>
      </c>
      <c r="I173" s="57">
        <v>2024</v>
      </c>
      <c r="J173" s="57">
        <v>3</v>
      </c>
      <c r="K173" s="29">
        <v>45597</v>
      </c>
      <c r="L173" s="66"/>
      <c r="M173" s="68">
        <v>0.1348</v>
      </c>
      <c r="N173" s="67">
        <f t="shared" si="147"/>
        <v>0.15040000000000001</v>
      </c>
      <c r="O173" s="67">
        <v>1.5599999999999999E-2</v>
      </c>
      <c r="P173" s="68">
        <f t="shared" si="151"/>
        <v>0</v>
      </c>
      <c r="Q173" s="100">
        <v>1</v>
      </c>
      <c r="R173" s="104">
        <f t="shared" si="82"/>
        <v>0.1348</v>
      </c>
      <c r="S173" s="73">
        <v>901990</v>
      </c>
      <c r="T173" s="77">
        <f t="shared" si="152"/>
        <v>1046910</v>
      </c>
      <c r="U173" s="78">
        <v>1043805</v>
      </c>
      <c r="V173" s="78">
        <f t="shared" si="153"/>
        <v>1027473.204</v>
      </c>
      <c r="W173" s="57" t="s">
        <v>53</v>
      </c>
      <c r="X173" s="128" t="s">
        <v>100</v>
      </c>
      <c r="Y173" s="79">
        <v>2.9</v>
      </c>
      <c r="Z173" s="79"/>
      <c r="AA173" s="79"/>
      <c r="AB173" s="80"/>
      <c r="AC173" s="78">
        <f t="shared" si="154"/>
        <v>135659.296</v>
      </c>
      <c r="AD173" s="83"/>
      <c r="AE173" s="77">
        <f t="shared" si="155"/>
        <v>2615.7710000000002</v>
      </c>
      <c r="AF173" s="86"/>
    </row>
    <row r="174" spans="2:32" s="43" customFormat="1" hidden="1">
      <c r="B174" s="17" t="s">
        <v>11</v>
      </c>
      <c r="C174" s="40" t="s">
        <v>16</v>
      </c>
      <c r="D174" s="40" t="s">
        <v>63</v>
      </c>
      <c r="E174" s="91" t="s">
        <v>96</v>
      </c>
      <c r="F174" s="40" t="s">
        <v>51</v>
      </c>
      <c r="G174" s="40"/>
      <c r="H174" s="40" t="s">
        <v>52</v>
      </c>
      <c r="I174" s="57">
        <v>2024</v>
      </c>
      <c r="J174" s="57">
        <v>2</v>
      </c>
      <c r="K174" s="29">
        <v>45597</v>
      </c>
      <c r="L174" s="66"/>
      <c r="M174" s="68">
        <v>0.1348</v>
      </c>
      <c r="N174" s="67">
        <f t="shared" si="147"/>
        <v>0.15040000000000001</v>
      </c>
      <c r="O174" s="67">
        <v>1.5599999999999999E-2</v>
      </c>
      <c r="P174" s="68">
        <f t="shared" si="151"/>
        <v>0</v>
      </c>
      <c r="Q174" s="100">
        <v>1</v>
      </c>
      <c r="R174" s="104">
        <f t="shared" si="82"/>
        <v>0.1348</v>
      </c>
      <c r="S174" s="73">
        <v>49920</v>
      </c>
      <c r="T174" s="77">
        <f t="shared" si="152"/>
        <v>144920</v>
      </c>
      <c r="U174" s="78">
        <v>1043805</v>
      </c>
      <c r="V174" s="78">
        <f t="shared" si="153"/>
        <v>1041544.248</v>
      </c>
      <c r="W174" s="57" t="s">
        <v>53</v>
      </c>
      <c r="X174" s="128" t="s">
        <v>100</v>
      </c>
      <c r="Y174" s="79">
        <v>2.9</v>
      </c>
      <c r="Z174" s="79"/>
      <c r="AA174" s="79"/>
      <c r="AB174" s="80"/>
      <c r="AC174" s="78">
        <f t="shared" si="154"/>
        <v>7507.9679999999998</v>
      </c>
      <c r="AD174" s="83"/>
      <c r="AE174" s="77">
        <f t="shared" si="155"/>
        <v>144.768</v>
      </c>
      <c r="AF174" s="86"/>
    </row>
    <row r="175" spans="2:32" s="43" customFormat="1" hidden="1">
      <c r="B175" s="17" t="s">
        <v>11</v>
      </c>
      <c r="C175" s="40" t="s">
        <v>16</v>
      </c>
      <c r="D175" s="40" t="s">
        <v>63</v>
      </c>
      <c r="E175" s="91" t="s">
        <v>96</v>
      </c>
      <c r="F175" s="40" t="s">
        <v>51</v>
      </c>
      <c r="G175" s="40"/>
      <c r="H175" s="40" t="s">
        <v>52</v>
      </c>
      <c r="I175" s="57">
        <v>2024</v>
      </c>
      <c r="J175" s="57">
        <v>1</v>
      </c>
      <c r="K175" s="29">
        <v>45597</v>
      </c>
      <c r="L175" s="66"/>
      <c r="M175" s="68">
        <v>0.1348</v>
      </c>
      <c r="N175" s="67">
        <f t="shared" si="147"/>
        <v>0.15040000000000001</v>
      </c>
      <c r="O175" s="67">
        <v>1.5599999999999999E-2</v>
      </c>
      <c r="P175" s="68">
        <f t="shared" si="151"/>
        <v>0</v>
      </c>
      <c r="Q175" s="100">
        <v>1</v>
      </c>
      <c r="R175" s="104">
        <f t="shared" si="82"/>
        <v>0.1348</v>
      </c>
      <c r="S175" s="73">
        <v>33000</v>
      </c>
      <c r="T175" s="77">
        <f t="shared" si="152"/>
        <v>95000</v>
      </c>
      <c r="U175" s="78">
        <v>1043805</v>
      </c>
      <c r="V175" s="78">
        <f t="shared" si="153"/>
        <v>1042323</v>
      </c>
      <c r="W175" s="57" t="s">
        <v>53</v>
      </c>
      <c r="X175" s="128" t="s">
        <v>100</v>
      </c>
      <c r="Y175" s="79">
        <v>2.9</v>
      </c>
      <c r="Z175" s="79"/>
      <c r="AA175" s="79"/>
      <c r="AB175" s="80"/>
      <c r="AC175" s="78">
        <f t="shared" si="154"/>
        <v>4963.2</v>
      </c>
      <c r="AD175" s="83"/>
      <c r="AE175" s="77">
        <f t="shared" si="155"/>
        <v>95.7</v>
      </c>
      <c r="AF175" s="86"/>
    </row>
    <row r="176" spans="2:32" s="43" customFormat="1" hidden="1">
      <c r="B176" s="17" t="s">
        <v>11</v>
      </c>
      <c r="C176" s="40" t="s">
        <v>16</v>
      </c>
      <c r="D176" s="40" t="s">
        <v>63</v>
      </c>
      <c r="E176" s="91" t="s">
        <v>96</v>
      </c>
      <c r="F176" s="40" t="s">
        <v>51</v>
      </c>
      <c r="G176" s="40"/>
      <c r="H176" s="40" t="s">
        <v>52</v>
      </c>
      <c r="I176" s="57">
        <v>2023</v>
      </c>
      <c r="J176" s="57">
        <v>12</v>
      </c>
      <c r="K176" s="29">
        <v>45597</v>
      </c>
      <c r="L176" s="66"/>
      <c r="M176" s="68">
        <v>0.1348</v>
      </c>
      <c r="N176" s="67">
        <f t="shared" si="147"/>
        <v>0.15040000000000001</v>
      </c>
      <c r="O176" s="67">
        <v>1.5599999999999999E-2</v>
      </c>
      <c r="P176" s="68">
        <f t="shared" si="151"/>
        <v>0</v>
      </c>
      <c r="Q176" s="100">
        <v>1</v>
      </c>
      <c r="R176" s="104">
        <f t="shared" si="82"/>
        <v>0.1348</v>
      </c>
      <c r="S176" s="73">
        <v>36240</v>
      </c>
      <c r="T176" s="77">
        <f t="shared" si="152"/>
        <v>62000</v>
      </c>
      <c r="U176" s="78">
        <v>1043805</v>
      </c>
      <c r="V176" s="78">
        <f t="shared" si="153"/>
        <v>1042837.8</v>
      </c>
      <c r="W176" s="57" t="s">
        <v>53</v>
      </c>
      <c r="X176" s="128" t="s">
        <v>100</v>
      </c>
      <c r="Y176" s="79">
        <v>2.9</v>
      </c>
      <c r="Z176" s="79"/>
      <c r="AA176" s="79"/>
      <c r="AB176" s="80"/>
      <c r="AC176" s="78">
        <f t="shared" si="154"/>
        <v>5450.4960000000001</v>
      </c>
      <c r="AD176" s="83"/>
      <c r="AE176" s="77">
        <f t="shared" si="155"/>
        <v>105.096</v>
      </c>
      <c r="AF176" s="86"/>
    </row>
    <row r="177" spans="2:32" s="43" customFormat="1" hidden="1">
      <c r="B177" s="17" t="s">
        <v>11</v>
      </c>
      <c r="C177" s="40" t="s">
        <v>16</v>
      </c>
      <c r="D177" s="40" t="s">
        <v>63</v>
      </c>
      <c r="E177" s="91" t="s">
        <v>96</v>
      </c>
      <c r="F177" s="40" t="s">
        <v>51</v>
      </c>
      <c r="G177" s="40"/>
      <c r="H177" s="40" t="s">
        <v>52</v>
      </c>
      <c r="I177" s="57">
        <v>2023</v>
      </c>
      <c r="J177" s="57">
        <v>11</v>
      </c>
      <c r="K177" s="29">
        <v>45597</v>
      </c>
      <c r="L177" s="66"/>
      <c r="M177" s="68">
        <v>0.1348</v>
      </c>
      <c r="N177" s="67">
        <f t="shared" si="147"/>
        <v>0.15040000000000001</v>
      </c>
      <c r="O177" s="67">
        <v>1.5599999999999999E-2</v>
      </c>
      <c r="P177" s="68">
        <f t="shared" si="151"/>
        <v>0</v>
      </c>
      <c r="Q177" s="100">
        <v>1</v>
      </c>
      <c r="R177" s="104">
        <f t="shared" si="82"/>
        <v>0.1348</v>
      </c>
      <c r="S177" s="73">
        <v>25760</v>
      </c>
      <c r="T177" s="77">
        <f>S177</f>
        <v>25760</v>
      </c>
      <c r="U177" s="78">
        <v>1043805</v>
      </c>
      <c r="V177" s="78">
        <f t="shared" si="153"/>
        <v>1043403.144</v>
      </c>
      <c r="W177" s="57" t="s">
        <v>53</v>
      </c>
      <c r="X177" s="128" t="s">
        <v>100</v>
      </c>
      <c r="Y177" s="79">
        <v>2.9</v>
      </c>
      <c r="Z177" s="79"/>
      <c r="AA177" s="79"/>
      <c r="AB177" s="80"/>
      <c r="AC177" s="78">
        <f t="shared" si="154"/>
        <v>3874.3040000000001</v>
      </c>
      <c r="AD177" s="83"/>
      <c r="AE177" s="77">
        <f t="shared" si="155"/>
        <v>74.703999999999994</v>
      </c>
      <c r="AF177" s="86"/>
    </row>
    <row r="178" spans="2:32" s="43" customFormat="1">
      <c r="B178" s="17" t="s">
        <v>11</v>
      </c>
      <c r="C178" s="40" t="s">
        <v>16</v>
      </c>
      <c r="D178" s="40" t="s">
        <v>76</v>
      </c>
      <c r="E178" s="91" t="s">
        <v>102</v>
      </c>
      <c r="F178" s="40" t="s">
        <v>51</v>
      </c>
      <c r="G178" s="40"/>
      <c r="H178" s="40" t="s">
        <v>52</v>
      </c>
      <c r="I178" s="57">
        <v>2025</v>
      </c>
      <c r="J178" s="57">
        <v>2</v>
      </c>
      <c r="K178" s="29">
        <v>45722</v>
      </c>
      <c r="L178" s="66"/>
      <c r="M178" s="132">
        <v>0.2782</v>
      </c>
      <c r="N178" s="67">
        <f>M178+O178</f>
        <v>0.29570000000000002</v>
      </c>
      <c r="O178" s="67">
        <v>1.7500000000000002E-2</v>
      </c>
      <c r="P178" s="68"/>
      <c r="Q178" s="100">
        <v>1</v>
      </c>
      <c r="R178" s="104">
        <f t="shared" ref="R178:R180" si="156">Q178*M178</f>
        <v>0.2782</v>
      </c>
      <c r="S178" s="73">
        <v>217000</v>
      </c>
      <c r="T178" s="144">
        <f>T181+S178+S179+S180</f>
        <v>13850504</v>
      </c>
      <c r="U178" s="136">
        <v>884159.29203539796</v>
      </c>
      <c r="V178" s="136">
        <f t="shared" si="153"/>
        <v>641775.47203539789</v>
      </c>
      <c r="W178" s="40" t="s">
        <v>78</v>
      </c>
      <c r="X178" s="128" t="s">
        <v>59</v>
      </c>
      <c r="Y178" s="79">
        <v>4.5999999999999996</v>
      </c>
      <c r="Z178" s="79"/>
      <c r="AA178" s="79"/>
      <c r="AB178" s="80"/>
      <c r="AC178" s="78">
        <f t="shared" si="154"/>
        <v>64166.9</v>
      </c>
      <c r="AD178" s="83"/>
      <c r="AE178" s="77">
        <f t="shared" si="155"/>
        <v>998.19999999999993</v>
      </c>
      <c r="AF178" s="86"/>
    </row>
    <row r="179" spans="2:32" s="43" customFormat="1">
      <c r="B179" s="17" t="s">
        <v>11</v>
      </c>
      <c r="C179" s="40" t="s">
        <v>16</v>
      </c>
      <c r="D179" s="40" t="s">
        <v>76</v>
      </c>
      <c r="E179" s="91" t="s">
        <v>102</v>
      </c>
      <c r="F179" s="40" t="s">
        <v>51</v>
      </c>
      <c r="G179" s="40"/>
      <c r="H179" s="40" t="s">
        <v>52</v>
      </c>
      <c r="I179" s="57">
        <v>2025</v>
      </c>
      <c r="J179" s="57">
        <v>2</v>
      </c>
      <c r="K179" s="29">
        <v>45722</v>
      </c>
      <c r="L179" s="66"/>
      <c r="M179" s="68">
        <v>0.2782</v>
      </c>
      <c r="N179" s="67">
        <f t="shared" ref="N179:N180" si="157">M179+O179</f>
        <v>0.29570000000000002</v>
      </c>
      <c r="O179" s="67">
        <v>1.7500000000000002E-2</v>
      </c>
      <c r="P179" s="68"/>
      <c r="Q179" s="100">
        <v>1</v>
      </c>
      <c r="R179" s="104">
        <f t="shared" si="156"/>
        <v>0.2782</v>
      </c>
      <c r="S179" s="73">
        <v>65313</v>
      </c>
      <c r="T179" s="144"/>
      <c r="U179" s="136"/>
      <c r="V179" s="136"/>
      <c r="W179" s="57"/>
      <c r="X179" s="128" t="s">
        <v>97</v>
      </c>
      <c r="Y179" s="79">
        <v>4.5999999999999996</v>
      </c>
      <c r="Z179" s="79"/>
      <c r="AA179" s="79"/>
      <c r="AB179" s="80"/>
      <c r="AC179" s="78">
        <f t="shared" si="154"/>
        <v>19313.054100000001</v>
      </c>
      <c r="AD179" s="83"/>
      <c r="AE179" s="77">
        <f t="shared" si="155"/>
        <v>300.43979999999999</v>
      </c>
      <c r="AF179" s="86"/>
    </row>
    <row r="180" spans="2:32" s="43" customFormat="1">
      <c r="B180" s="17" t="s">
        <v>11</v>
      </c>
      <c r="C180" s="40" t="s">
        <v>16</v>
      </c>
      <c r="D180" s="40" t="s">
        <v>76</v>
      </c>
      <c r="E180" s="91" t="s">
        <v>102</v>
      </c>
      <c r="F180" s="40" t="s">
        <v>51</v>
      </c>
      <c r="G180" s="40"/>
      <c r="H180" s="40" t="s">
        <v>52</v>
      </c>
      <c r="I180" s="57">
        <v>2025</v>
      </c>
      <c r="J180" s="57">
        <v>2</v>
      </c>
      <c r="K180" s="29">
        <v>45722</v>
      </c>
      <c r="L180" s="66"/>
      <c r="M180" s="68">
        <v>0.2782</v>
      </c>
      <c r="N180" s="67">
        <f t="shared" si="157"/>
        <v>0.29570000000000002</v>
      </c>
      <c r="O180" s="67">
        <v>1.7500000000000002E-2</v>
      </c>
      <c r="P180" s="68"/>
      <c r="Q180" s="100">
        <v>1</v>
      </c>
      <c r="R180" s="104">
        <f t="shared" si="156"/>
        <v>0.2782</v>
      </c>
      <c r="S180" s="73">
        <v>325000</v>
      </c>
      <c r="T180" s="144"/>
      <c r="U180" s="136"/>
      <c r="V180" s="136"/>
      <c r="W180" s="57"/>
      <c r="X180" s="128" t="s">
        <v>60</v>
      </c>
      <c r="Y180" s="79">
        <v>4.5999999999999996</v>
      </c>
      <c r="Z180" s="79"/>
      <c r="AA180" s="79"/>
      <c r="AB180" s="80"/>
      <c r="AC180" s="78">
        <f t="shared" si="154"/>
        <v>96102.5</v>
      </c>
      <c r="AD180" s="83"/>
      <c r="AE180" s="77">
        <f t="shared" si="155"/>
        <v>1495</v>
      </c>
      <c r="AF180" s="86"/>
    </row>
    <row r="181" spans="2:32" s="43" customFormat="1" hidden="1">
      <c r="B181" s="17" t="s">
        <v>11</v>
      </c>
      <c r="C181" s="40" t="s">
        <v>16</v>
      </c>
      <c r="D181" s="40" t="s">
        <v>76</v>
      </c>
      <c r="E181" s="91" t="s">
        <v>102</v>
      </c>
      <c r="F181" s="40" t="s">
        <v>51</v>
      </c>
      <c r="G181" s="40"/>
      <c r="H181" s="40" t="s">
        <v>52</v>
      </c>
      <c r="I181" s="57">
        <v>2025</v>
      </c>
      <c r="J181" s="57">
        <v>1</v>
      </c>
      <c r="K181" s="29">
        <v>45705</v>
      </c>
      <c r="L181" s="66"/>
      <c r="M181" s="68">
        <v>0.2843</v>
      </c>
      <c r="N181" s="67">
        <f t="shared" si="147"/>
        <v>0.30180000000000001</v>
      </c>
      <c r="O181" s="67">
        <v>1.7500000000000002E-2</v>
      </c>
      <c r="P181" s="68"/>
      <c r="Q181" s="100">
        <v>1</v>
      </c>
      <c r="R181" s="104">
        <f t="shared" si="82"/>
        <v>0.2843</v>
      </c>
      <c r="S181" s="73">
        <v>66000</v>
      </c>
      <c r="T181" s="77">
        <f>T183+S181+S182</f>
        <v>13243191</v>
      </c>
      <c r="U181" s="78">
        <v>884159.29203539796</v>
      </c>
      <c r="V181" s="78">
        <f t="shared" ref="V181" si="158">U181-O181*T181</f>
        <v>652403.44953539793</v>
      </c>
      <c r="W181" s="40" t="s">
        <v>78</v>
      </c>
      <c r="X181" s="128" t="s">
        <v>97</v>
      </c>
      <c r="Y181" s="79">
        <v>4.5999999999999996</v>
      </c>
      <c r="Z181" s="79"/>
      <c r="AA181" s="79"/>
      <c r="AB181" s="80"/>
      <c r="AC181" s="78">
        <f t="shared" ref="AC181:AC182" si="159">N181*S181</f>
        <v>19918.8</v>
      </c>
      <c r="AD181" s="83"/>
      <c r="AE181" s="77">
        <f t="shared" ref="AE181:AE182" si="160">S181*Y181/1000</f>
        <v>303.60000000000002</v>
      </c>
      <c r="AF181" s="86"/>
    </row>
    <row r="182" spans="2:32" s="43" customFormat="1" hidden="1">
      <c r="B182" s="17" t="s">
        <v>11</v>
      </c>
      <c r="C182" s="40" t="s">
        <v>16</v>
      </c>
      <c r="D182" s="40" t="s">
        <v>76</v>
      </c>
      <c r="E182" s="91" t="s">
        <v>102</v>
      </c>
      <c r="F182" s="40" t="s">
        <v>51</v>
      </c>
      <c r="G182" s="40"/>
      <c r="H182" s="40" t="s">
        <v>52</v>
      </c>
      <c r="I182" s="57">
        <v>2025</v>
      </c>
      <c r="J182" s="57">
        <v>1</v>
      </c>
      <c r="K182" s="29">
        <v>45705</v>
      </c>
      <c r="L182" s="66"/>
      <c r="M182" s="68">
        <v>0.2843</v>
      </c>
      <c r="N182" s="67">
        <f t="shared" ref="N182" si="161">M182+O182</f>
        <v>0.30180000000000001</v>
      </c>
      <c r="O182" s="67">
        <v>1.7500000000000002E-2</v>
      </c>
      <c r="P182" s="68"/>
      <c r="Q182" s="100">
        <v>1</v>
      </c>
      <c r="R182" s="104">
        <f t="shared" ref="R182" si="162">Q182*M182</f>
        <v>0.2843</v>
      </c>
      <c r="S182" s="73">
        <v>240000</v>
      </c>
      <c r="T182" s="77"/>
      <c r="U182" s="78"/>
      <c r="V182" s="78"/>
      <c r="W182" s="40" t="s">
        <v>78</v>
      </c>
      <c r="X182" s="128" t="s">
        <v>60</v>
      </c>
      <c r="Y182" s="79">
        <v>4.5999999999999996</v>
      </c>
      <c r="Z182" s="79"/>
      <c r="AA182" s="79"/>
      <c r="AB182" s="80"/>
      <c r="AC182" s="78">
        <f t="shared" si="159"/>
        <v>72432</v>
      </c>
      <c r="AD182" s="83"/>
      <c r="AE182" s="77">
        <f t="shared" si="160"/>
        <v>1104</v>
      </c>
      <c r="AF182" s="86"/>
    </row>
    <row r="183" spans="2:32" s="43" customFormat="1" hidden="1">
      <c r="B183" s="17" t="s">
        <v>11</v>
      </c>
      <c r="C183" s="40" t="s">
        <v>16</v>
      </c>
      <c r="D183" s="40" t="s">
        <v>76</v>
      </c>
      <c r="E183" s="91" t="s">
        <v>102</v>
      </c>
      <c r="F183" s="40" t="s">
        <v>51</v>
      </c>
      <c r="G183" s="40"/>
      <c r="H183" s="40" t="s">
        <v>52</v>
      </c>
      <c r="I183" s="57">
        <v>2024</v>
      </c>
      <c r="J183" s="57">
        <v>12</v>
      </c>
      <c r="K183" s="29">
        <v>45665</v>
      </c>
      <c r="L183" s="66"/>
      <c r="M183" s="68">
        <v>0.2843</v>
      </c>
      <c r="N183" s="67">
        <f t="shared" ref="N183" si="163">M183+O183</f>
        <v>0.30180000000000001</v>
      </c>
      <c r="O183" s="67">
        <v>1.7500000000000002E-2</v>
      </c>
      <c r="P183" s="68"/>
      <c r="Q183" s="100">
        <v>1</v>
      </c>
      <c r="R183" s="104">
        <f t="shared" ref="R183" si="164">Q183*M183</f>
        <v>0.2843</v>
      </c>
      <c r="S183" s="73">
        <v>217750</v>
      </c>
      <c r="T183" s="77">
        <f>S183+T184</f>
        <v>12937191</v>
      </c>
      <c r="U183" s="78">
        <v>884159.29203539796</v>
      </c>
      <c r="V183" s="78">
        <f t="shared" si="153"/>
        <v>657758.44953539793</v>
      </c>
      <c r="W183" s="40" t="s">
        <v>78</v>
      </c>
      <c r="X183" s="129" t="s">
        <v>100</v>
      </c>
      <c r="Y183" s="79">
        <v>4.5999999999999996</v>
      </c>
      <c r="Z183" s="79"/>
      <c r="AA183" s="79"/>
      <c r="AB183" s="80"/>
      <c r="AC183" s="78">
        <f t="shared" si="154"/>
        <v>65716.95</v>
      </c>
      <c r="AD183" s="83"/>
      <c r="AE183" s="77">
        <f t="shared" si="155"/>
        <v>1001.6499999999999</v>
      </c>
      <c r="AF183" s="86"/>
    </row>
    <row r="184" spans="2:32" s="43" customFormat="1" hidden="1">
      <c r="B184" s="17" t="s">
        <v>11</v>
      </c>
      <c r="C184" s="40" t="s">
        <v>16</v>
      </c>
      <c r="D184" s="40" t="s">
        <v>76</v>
      </c>
      <c r="E184" s="91" t="s">
        <v>102</v>
      </c>
      <c r="F184" s="40" t="s">
        <v>51</v>
      </c>
      <c r="G184" s="40"/>
      <c r="H184" s="40" t="s">
        <v>52</v>
      </c>
      <c r="I184" s="57">
        <v>2024</v>
      </c>
      <c r="J184" s="57">
        <v>11</v>
      </c>
      <c r="K184" s="29">
        <v>45629</v>
      </c>
      <c r="L184" s="66"/>
      <c r="M184" s="68">
        <v>0.2843</v>
      </c>
      <c r="N184" s="67">
        <f t="shared" si="147"/>
        <v>0.30180000000000001</v>
      </c>
      <c r="O184" s="67">
        <v>1.7500000000000002E-2</v>
      </c>
      <c r="P184" s="68"/>
      <c r="Q184" s="100">
        <v>1</v>
      </c>
      <c r="R184" s="104">
        <f t="shared" si="82"/>
        <v>0.2843</v>
      </c>
      <c r="S184" s="73">
        <v>989085</v>
      </c>
      <c r="T184" s="77">
        <f>S184+T185</f>
        <v>12719441</v>
      </c>
      <c r="U184" s="78">
        <v>884159.29203539796</v>
      </c>
      <c r="V184" s="78">
        <f t="shared" ref="V184" si="165">U184-O184*T184</f>
        <v>661569.07453539793</v>
      </c>
      <c r="W184" s="40" t="s">
        <v>78</v>
      </c>
      <c r="X184" s="129" t="s">
        <v>100</v>
      </c>
      <c r="Y184" s="79">
        <v>4.5999999999999996</v>
      </c>
      <c r="Z184" s="79"/>
      <c r="AA184" s="79"/>
      <c r="AB184" s="80"/>
      <c r="AC184" s="78">
        <f t="shared" ref="AC184" si="166">N184*S184</f>
        <v>298505.853</v>
      </c>
      <c r="AD184" s="83"/>
      <c r="AE184" s="77">
        <f t="shared" ref="AE184" si="167">S184*Y184/1000</f>
        <v>4549.7910000000002</v>
      </c>
      <c r="AF184" s="86"/>
    </row>
    <row r="185" spans="2:32" s="43" customFormat="1" hidden="1">
      <c r="B185" s="17" t="s">
        <v>11</v>
      </c>
      <c r="C185" s="40" t="s">
        <v>16</v>
      </c>
      <c r="D185" s="40" t="s">
        <v>76</v>
      </c>
      <c r="E185" s="91" t="s">
        <v>102</v>
      </c>
      <c r="F185" s="40" t="s">
        <v>51</v>
      </c>
      <c r="G185" s="40"/>
      <c r="H185" s="40" t="s">
        <v>52</v>
      </c>
      <c r="I185" s="57">
        <v>2024</v>
      </c>
      <c r="J185" s="57">
        <v>10</v>
      </c>
      <c r="K185" s="29">
        <v>45601</v>
      </c>
      <c r="L185" s="66"/>
      <c r="M185" s="68">
        <v>0.2843</v>
      </c>
      <c r="N185" s="67">
        <f t="shared" si="147"/>
        <v>0.30180000000000001</v>
      </c>
      <c r="O185" s="67">
        <v>1.7500000000000002E-2</v>
      </c>
      <c r="P185" s="68"/>
      <c r="Q185" s="100">
        <v>1</v>
      </c>
      <c r="R185" s="104">
        <f t="shared" si="82"/>
        <v>0.2843</v>
      </c>
      <c r="S185" s="73">
        <v>1855921</v>
      </c>
      <c r="T185" s="77">
        <f>S185+T186</f>
        <v>11730356</v>
      </c>
      <c r="U185" s="78">
        <v>884159.29203539796</v>
      </c>
      <c r="V185" s="78">
        <f t="shared" si="153"/>
        <v>678878.06203539798</v>
      </c>
      <c r="W185" s="40" t="s">
        <v>78</v>
      </c>
      <c r="X185" s="129" t="s">
        <v>100</v>
      </c>
      <c r="Y185" s="79">
        <v>4.5999999999999996</v>
      </c>
      <c r="Z185" s="79"/>
      <c r="AA185" s="79"/>
      <c r="AB185" s="80"/>
      <c r="AC185" s="78">
        <f t="shared" si="154"/>
        <v>560116.95779999997</v>
      </c>
      <c r="AD185" s="83"/>
      <c r="AE185" s="77">
        <f t="shared" si="155"/>
        <v>8537.2366000000002</v>
      </c>
      <c r="AF185" s="86"/>
    </row>
    <row r="186" spans="2:32" s="43" customFormat="1" hidden="1">
      <c r="B186" s="17" t="s">
        <v>11</v>
      </c>
      <c r="C186" s="40" t="str">
        <f>VLOOKUP(B186,[1]Sheet1!$A:$B,2,0)</f>
        <v>MODI</v>
      </c>
      <c r="D186" s="40" t="s">
        <v>76</v>
      </c>
      <c r="E186" s="91" t="s">
        <v>102</v>
      </c>
      <c r="F186" s="40" t="s">
        <v>51</v>
      </c>
      <c r="G186" s="40"/>
      <c r="H186" s="40" t="s">
        <v>52</v>
      </c>
      <c r="I186" s="57">
        <v>2024</v>
      </c>
      <c r="J186" s="57">
        <v>9</v>
      </c>
      <c r="K186" s="29">
        <v>45597</v>
      </c>
      <c r="L186" s="66"/>
      <c r="M186" s="68">
        <v>0.2843</v>
      </c>
      <c r="N186" s="67">
        <f t="shared" si="147"/>
        <v>0.30180000000000001</v>
      </c>
      <c r="O186" s="67">
        <v>1.7500000000000002E-2</v>
      </c>
      <c r="P186" s="68">
        <f t="shared" ref="P186:P196" si="168">L186*O186</f>
        <v>0</v>
      </c>
      <c r="Q186" s="100">
        <v>1</v>
      </c>
      <c r="R186" s="104">
        <f t="shared" si="82"/>
        <v>0.2843</v>
      </c>
      <c r="S186" s="73">
        <v>1544919</v>
      </c>
      <c r="T186" s="77">
        <v>9874435</v>
      </c>
      <c r="U186" s="78">
        <f>560000+23500/1.13+27800/1.13+315000/1.13</f>
        <v>884159.29203539831</v>
      </c>
      <c r="V186" s="78">
        <f>U186-O186*T186</f>
        <v>711356.67953539826</v>
      </c>
      <c r="W186" s="40" t="s">
        <v>78</v>
      </c>
      <c r="X186" s="129" t="s">
        <v>100</v>
      </c>
      <c r="Y186" s="79">
        <v>4.5999999999999996</v>
      </c>
      <c r="Z186" s="79"/>
      <c r="AA186" s="79"/>
      <c r="AB186" s="80"/>
      <c r="AC186" s="78">
        <f>N186*S186</f>
        <v>466256.55420000001</v>
      </c>
      <c r="AD186" s="83"/>
      <c r="AE186" s="77">
        <f>S186*Y186/1000</f>
        <v>7106.6273999999994</v>
      </c>
      <c r="AF186" s="85" t="s">
        <v>83</v>
      </c>
    </row>
    <row r="187" spans="2:32" s="43" customFormat="1" hidden="1">
      <c r="B187" s="17" t="s">
        <v>11</v>
      </c>
      <c r="C187" s="40" t="s">
        <v>16</v>
      </c>
      <c r="D187" s="40" t="s">
        <v>76</v>
      </c>
      <c r="E187" s="91" t="s">
        <v>102</v>
      </c>
      <c r="F187" s="40" t="s">
        <v>51</v>
      </c>
      <c r="G187" s="40"/>
      <c r="H187" s="40" t="s">
        <v>52</v>
      </c>
      <c r="I187" s="57">
        <v>2024</v>
      </c>
      <c r="J187" s="57">
        <v>8</v>
      </c>
      <c r="K187" s="29">
        <v>45597</v>
      </c>
      <c r="L187" s="66"/>
      <c r="M187" s="68">
        <v>0.2843</v>
      </c>
      <c r="N187" s="67">
        <f t="shared" si="147"/>
        <v>0.30180000000000001</v>
      </c>
      <c r="O187" s="67">
        <v>1.7500000000000002E-2</v>
      </c>
      <c r="P187" s="68">
        <f t="shared" si="168"/>
        <v>0</v>
      </c>
      <c r="Q187" s="100">
        <v>1</v>
      </c>
      <c r="R187" s="104">
        <f t="shared" si="82"/>
        <v>0.2843</v>
      </c>
      <c r="S187" s="73">
        <v>1594790</v>
      </c>
      <c r="T187" s="77">
        <f t="shared" ref="T187:T195" si="169">S187+T188</f>
        <v>8329516</v>
      </c>
      <c r="U187" s="78">
        <v>884159.29203539796</v>
      </c>
      <c r="V187" s="78">
        <f t="shared" ref="V187:V201" si="170">U187-O187*T187</f>
        <v>738392.76203539793</v>
      </c>
      <c r="W187" s="40" t="s">
        <v>78</v>
      </c>
      <c r="X187" s="129" t="s">
        <v>100</v>
      </c>
      <c r="Y187" s="79">
        <v>4.5999999999999996</v>
      </c>
      <c r="Z187" s="79"/>
      <c r="AA187" s="79"/>
      <c r="AB187" s="80"/>
      <c r="AC187" s="78">
        <f t="shared" ref="AC187:AC201" si="171">N187*S187</f>
        <v>481307.62200000003</v>
      </c>
      <c r="AD187" s="83"/>
      <c r="AE187" s="77">
        <f t="shared" ref="AE187:AE201" si="172">S187*Y187/1000</f>
        <v>7336.0339999999987</v>
      </c>
      <c r="AF187" s="85"/>
    </row>
    <row r="188" spans="2:32" s="43" customFormat="1" hidden="1">
      <c r="B188" s="17" t="s">
        <v>11</v>
      </c>
      <c r="C188" s="40" t="s">
        <v>16</v>
      </c>
      <c r="D188" s="40" t="s">
        <v>76</v>
      </c>
      <c r="E188" s="91" t="s">
        <v>102</v>
      </c>
      <c r="F188" s="40" t="s">
        <v>51</v>
      </c>
      <c r="G188" s="40"/>
      <c r="H188" s="40" t="s">
        <v>52</v>
      </c>
      <c r="I188" s="57">
        <v>2024</v>
      </c>
      <c r="J188" s="57">
        <v>7</v>
      </c>
      <c r="K188" s="29">
        <v>45597</v>
      </c>
      <c r="L188" s="66"/>
      <c r="M188" s="68">
        <v>0.2843</v>
      </c>
      <c r="N188" s="67">
        <f t="shared" si="147"/>
        <v>0.30180000000000001</v>
      </c>
      <c r="O188" s="67">
        <v>1.7500000000000002E-2</v>
      </c>
      <c r="P188" s="68">
        <f t="shared" si="168"/>
        <v>0</v>
      </c>
      <c r="Q188" s="100">
        <v>1</v>
      </c>
      <c r="R188" s="104">
        <f t="shared" si="82"/>
        <v>0.2843</v>
      </c>
      <c r="S188" s="73">
        <v>1419249</v>
      </c>
      <c r="T188" s="77">
        <f t="shared" si="169"/>
        <v>6734726</v>
      </c>
      <c r="U188" s="78">
        <v>884159.29203539796</v>
      </c>
      <c r="V188" s="78">
        <f t="shared" si="170"/>
        <v>766301.587035398</v>
      </c>
      <c r="W188" s="40" t="s">
        <v>78</v>
      </c>
      <c r="X188" s="129" t="s">
        <v>100</v>
      </c>
      <c r="Y188" s="79">
        <v>4.5999999999999996</v>
      </c>
      <c r="Z188" s="79"/>
      <c r="AA188" s="79"/>
      <c r="AB188" s="80"/>
      <c r="AC188" s="78">
        <f t="shared" si="171"/>
        <v>428329.34820000001</v>
      </c>
      <c r="AD188" s="83"/>
      <c r="AE188" s="77">
        <f t="shared" si="172"/>
        <v>6528.5453999999991</v>
      </c>
      <c r="AF188" s="85"/>
    </row>
    <row r="189" spans="2:32" s="43" customFormat="1" hidden="1">
      <c r="B189" s="17" t="s">
        <v>11</v>
      </c>
      <c r="C189" s="40" t="s">
        <v>16</v>
      </c>
      <c r="D189" s="40" t="s">
        <v>76</v>
      </c>
      <c r="E189" s="91" t="s">
        <v>102</v>
      </c>
      <c r="F189" s="40" t="s">
        <v>51</v>
      </c>
      <c r="G189" s="40"/>
      <c r="H189" s="40" t="s">
        <v>52</v>
      </c>
      <c r="I189" s="57">
        <v>2024</v>
      </c>
      <c r="J189" s="57">
        <v>6</v>
      </c>
      <c r="K189" s="29">
        <v>45597</v>
      </c>
      <c r="L189" s="66"/>
      <c r="M189" s="68">
        <v>0.2843</v>
      </c>
      <c r="N189" s="67">
        <f t="shared" si="147"/>
        <v>0.30180000000000001</v>
      </c>
      <c r="O189" s="67">
        <v>1.7500000000000002E-2</v>
      </c>
      <c r="P189" s="68">
        <f t="shared" si="168"/>
        <v>0</v>
      </c>
      <c r="Q189" s="100">
        <v>1</v>
      </c>
      <c r="R189" s="104">
        <f t="shared" si="82"/>
        <v>0.2843</v>
      </c>
      <c r="S189" s="73">
        <v>1639083</v>
      </c>
      <c r="T189" s="77">
        <f t="shared" si="169"/>
        <v>5315477</v>
      </c>
      <c r="U189" s="78">
        <v>884159.29203539796</v>
      </c>
      <c r="V189" s="78">
        <f t="shared" si="170"/>
        <v>791138.44453539792</v>
      </c>
      <c r="W189" s="40" t="s">
        <v>78</v>
      </c>
      <c r="X189" s="129" t="s">
        <v>100</v>
      </c>
      <c r="Y189" s="79">
        <v>4.5999999999999996</v>
      </c>
      <c r="Z189" s="79"/>
      <c r="AA189" s="79"/>
      <c r="AB189" s="80"/>
      <c r="AC189" s="78">
        <f t="shared" si="171"/>
        <v>494675.24940000003</v>
      </c>
      <c r="AD189" s="83"/>
      <c r="AE189" s="77">
        <f t="shared" si="172"/>
        <v>7539.7817999999997</v>
      </c>
      <c r="AF189" s="85"/>
    </row>
    <row r="190" spans="2:32" s="43" customFormat="1" hidden="1">
      <c r="B190" s="17" t="s">
        <v>11</v>
      </c>
      <c r="C190" s="40" t="s">
        <v>16</v>
      </c>
      <c r="D190" s="40" t="s">
        <v>76</v>
      </c>
      <c r="E190" s="91" t="s">
        <v>102</v>
      </c>
      <c r="F190" s="40" t="s">
        <v>51</v>
      </c>
      <c r="G190" s="40"/>
      <c r="H190" s="40" t="s">
        <v>52</v>
      </c>
      <c r="I190" s="57">
        <v>2024</v>
      </c>
      <c r="J190" s="57">
        <v>5</v>
      </c>
      <c r="K190" s="29">
        <v>45597</v>
      </c>
      <c r="L190" s="66"/>
      <c r="M190" s="68">
        <v>0.2843</v>
      </c>
      <c r="N190" s="67">
        <f t="shared" si="147"/>
        <v>0.30180000000000001</v>
      </c>
      <c r="O190" s="67">
        <v>1.7500000000000002E-2</v>
      </c>
      <c r="P190" s="68">
        <f t="shared" si="168"/>
        <v>0</v>
      </c>
      <c r="Q190" s="100">
        <v>1</v>
      </c>
      <c r="R190" s="104">
        <f t="shared" si="82"/>
        <v>0.2843</v>
      </c>
      <c r="S190" s="73">
        <v>990304</v>
      </c>
      <c r="T190" s="77">
        <f t="shared" si="169"/>
        <v>3676394</v>
      </c>
      <c r="U190" s="78">
        <v>884159.29203539796</v>
      </c>
      <c r="V190" s="78">
        <f t="shared" si="170"/>
        <v>819822.39703539794</v>
      </c>
      <c r="W190" s="40" t="s">
        <v>78</v>
      </c>
      <c r="X190" s="129" t="s">
        <v>100</v>
      </c>
      <c r="Y190" s="79">
        <v>4.5999999999999996</v>
      </c>
      <c r="Z190" s="79"/>
      <c r="AA190" s="79"/>
      <c r="AB190" s="80"/>
      <c r="AC190" s="78">
        <f t="shared" si="171"/>
        <v>298873.74720000004</v>
      </c>
      <c r="AD190" s="83"/>
      <c r="AE190" s="77">
        <f t="shared" si="172"/>
        <v>4555.3983999999991</v>
      </c>
      <c r="AF190" s="85"/>
    </row>
    <row r="191" spans="2:32" s="43" customFormat="1" hidden="1">
      <c r="B191" s="17" t="s">
        <v>11</v>
      </c>
      <c r="C191" s="40" t="s">
        <v>16</v>
      </c>
      <c r="D191" s="40" t="s">
        <v>76</v>
      </c>
      <c r="E191" s="91" t="s">
        <v>102</v>
      </c>
      <c r="F191" s="40" t="s">
        <v>51</v>
      </c>
      <c r="G191" s="40"/>
      <c r="H191" s="40" t="s">
        <v>52</v>
      </c>
      <c r="I191" s="57">
        <v>2024</v>
      </c>
      <c r="J191" s="57">
        <v>4</v>
      </c>
      <c r="K191" s="29">
        <v>45597</v>
      </c>
      <c r="L191" s="66"/>
      <c r="M191" s="68">
        <v>0.2843</v>
      </c>
      <c r="N191" s="67">
        <f t="shared" si="147"/>
        <v>0.30180000000000001</v>
      </c>
      <c r="O191" s="67">
        <v>1.7500000000000002E-2</v>
      </c>
      <c r="P191" s="68">
        <f t="shared" si="168"/>
        <v>0</v>
      </c>
      <c r="Q191" s="100">
        <v>1</v>
      </c>
      <c r="R191" s="104">
        <f t="shared" si="82"/>
        <v>0.2843</v>
      </c>
      <c r="S191" s="73">
        <v>1641713</v>
      </c>
      <c r="T191" s="77">
        <f t="shared" si="169"/>
        <v>2686090</v>
      </c>
      <c r="U191" s="78">
        <v>884159.29203539796</v>
      </c>
      <c r="V191" s="78">
        <f t="shared" si="170"/>
        <v>837152.717035398</v>
      </c>
      <c r="W191" s="40" t="s">
        <v>78</v>
      </c>
      <c r="X191" s="129" t="s">
        <v>100</v>
      </c>
      <c r="Y191" s="79">
        <v>4.5999999999999996</v>
      </c>
      <c r="Z191" s="79"/>
      <c r="AA191" s="79"/>
      <c r="AB191" s="80"/>
      <c r="AC191" s="78">
        <f t="shared" si="171"/>
        <v>495468.98340000003</v>
      </c>
      <c r="AD191" s="83"/>
      <c r="AE191" s="77">
        <f t="shared" si="172"/>
        <v>7551.8797999999997</v>
      </c>
      <c r="AF191" s="85"/>
    </row>
    <row r="192" spans="2:32" s="43" customFormat="1" hidden="1">
      <c r="B192" s="17" t="s">
        <v>11</v>
      </c>
      <c r="C192" s="40" t="s">
        <v>16</v>
      </c>
      <c r="D192" s="40" t="s">
        <v>76</v>
      </c>
      <c r="E192" s="91" t="s">
        <v>102</v>
      </c>
      <c r="F192" s="40" t="s">
        <v>51</v>
      </c>
      <c r="G192" s="40"/>
      <c r="H192" s="40" t="s">
        <v>52</v>
      </c>
      <c r="I192" s="57">
        <v>2024</v>
      </c>
      <c r="J192" s="57">
        <v>3</v>
      </c>
      <c r="K192" s="29">
        <v>45597</v>
      </c>
      <c r="L192" s="66"/>
      <c r="M192" s="68">
        <v>0.2843</v>
      </c>
      <c r="N192" s="67">
        <f t="shared" si="147"/>
        <v>0.30180000000000001</v>
      </c>
      <c r="O192" s="67">
        <v>1.7500000000000002E-2</v>
      </c>
      <c r="P192" s="68">
        <f t="shared" si="168"/>
        <v>0</v>
      </c>
      <c r="Q192" s="100">
        <v>1</v>
      </c>
      <c r="R192" s="104">
        <f t="shared" si="82"/>
        <v>0.2843</v>
      </c>
      <c r="S192" s="73">
        <v>793577</v>
      </c>
      <c r="T192" s="77">
        <f t="shared" si="169"/>
        <v>1044377</v>
      </c>
      <c r="U192" s="78">
        <v>884159.29203539796</v>
      </c>
      <c r="V192" s="78">
        <f t="shared" si="170"/>
        <v>865882.69453539792</v>
      </c>
      <c r="W192" s="40" t="s">
        <v>78</v>
      </c>
      <c r="X192" s="129" t="s">
        <v>100</v>
      </c>
      <c r="Y192" s="79">
        <v>4.5999999999999996</v>
      </c>
      <c r="Z192" s="79"/>
      <c r="AA192" s="79"/>
      <c r="AB192" s="80"/>
      <c r="AC192" s="78">
        <f t="shared" si="171"/>
        <v>239501.5386</v>
      </c>
      <c r="AD192" s="83"/>
      <c r="AE192" s="77">
        <f t="shared" si="172"/>
        <v>3650.4541999999997</v>
      </c>
      <c r="AF192" s="85"/>
    </row>
    <row r="193" spans="2:32" s="43" customFormat="1" hidden="1">
      <c r="B193" s="17" t="s">
        <v>11</v>
      </c>
      <c r="C193" s="40" t="s">
        <v>16</v>
      </c>
      <c r="D193" s="40" t="s">
        <v>76</v>
      </c>
      <c r="E193" s="91" t="s">
        <v>102</v>
      </c>
      <c r="F193" s="40" t="s">
        <v>51</v>
      </c>
      <c r="G193" s="40"/>
      <c r="H193" s="40" t="s">
        <v>52</v>
      </c>
      <c r="I193" s="57">
        <v>2024</v>
      </c>
      <c r="J193" s="57">
        <v>2</v>
      </c>
      <c r="K193" s="29">
        <v>45597</v>
      </c>
      <c r="L193" s="66"/>
      <c r="M193" s="68">
        <v>0.2843</v>
      </c>
      <c r="N193" s="67">
        <f t="shared" si="147"/>
        <v>0.30180000000000001</v>
      </c>
      <c r="O193" s="67">
        <v>1.7500000000000002E-2</v>
      </c>
      <c r="P193" s="68">
        <f t="shared" si="168"/>
        <v>0</v>
      </c>
      <c r="Q193" s="100">
        <v>1</v>
      </c>
      <c r="R193" s="104">
        <f t="shared" si="82"/>
        <v>0.2843</v>
      </c>
      <c r="S193" s="73">
        <v>148800</v>
      </c>
      <c r="T193" s="77">
        <f t="shared" si="169"/>
        <v>250800</v>
      </c>
      <c r="U193" s="78">
        <v>884159.29203539796</v>
      </c>
      <c r="V193" s="78">
        <f t="shared" si="170"/>
        <v>879770.29203539796</v>
      </c>
      <c r="W193" s="40" t="s">
        <v>78</v>
      </c>
      <c r="X193" s="129" t="s">
        <v>100</v>
      </c>
      <c r="Y193" s="79">
        <v>4.5999999999999996</v>
      </c>
      <c r="Z193" s="79"/>
      <c r="AA193" s="79"/>
      <c r="AB193" s="80"/>
      <c r="AC193" s="78">
        <f t="shared" si="171"/>
        <v>44907.840000000004</v>
      </c>
      <c r="AD193" s="83"/>
      <c r="AE193" s="77">
        <f t="shared" si="172"/>
        <v>684.48</v>
      </c>
      <c r="AF193" s="85"/>
    </row>
    <row r="194" spans="2:32" s="43" customFormat="1" hidden="1">
      <c r="B194" s="17" t="s">
        <v>11</v>
      </c>
      <c r="C194" s="40" t="s">
        <v>16</v>
      </c>
      <c r="D194" s="40" t="s">
        <v>76</v>
      </c>
      <c r="E194" s="91" t="s">
        <v>102</v>
      </c>
      <c r="F194" s="40" t="s">
        <v>51</v>
      </c>
      <c r="G194" s="40"/>
      <c r="H194" s="40" t="s">
        <v>52</v>
      </c>
      <c r="I194" s="57">
        <v>2024</v>
      </c>
      <c r="J194" s="57">
        <v>1</v>
      </c>
      <c r="K194" s="29">
        <v>45597</v>
      </c>
      <c r="L194" s="66"/>
      <c r="M194" s="68">
        <v>0.2843</v>
      </c>
      <c r="N194" s="67">
        <f t="shared" si="147"/>
        <v>0.30180000000000001</v>
      </c>
      <c r="O194" s="67">
        <v>1.7500000000000002E-2</v>
      </c>
      <c r="P194" s="68">
        <f t="shared" si="168"/>
        <v>0</v>
      </c>
      <c r="Q194" s="100">
        <v>1</v>
      </c>
      <c r="R194" s="104">
        <f t="shared" si="82"/>
        <v>0.2843</v>
      </c>
      <c r="S194" s="73">
        <v>23400</v>
      </c>
      <c r="T194" s="77">
        <f t="shared" si="169"/>
        <v>102000</v>
      </c>
      <c r="U194" s="78">
        <v>884159.29203539796</v>
      </c>
      <c r="V194" s="78">
        <f t="shared" si="170"/>
        <v>882374.29203539796</v>
      </c>
      <c r="W194" s="40" t="s">
        <v>78</v>
      </c>
      <c r="X194" s="129" t="s">
        <v>100</v>
      </c>
      <c r="Y194" s="79">
        <v>4.5999999999999996</v>
      </c>
      <c r="Z194" s="79"/>
      <c r="AA194" s="79"/>
      <c r="AB194" s="80"/>
      <c r="AC194" s="78">
        <f t="shared" si="171"/>
        <v>7062.12</v>
      </c>
      <c r="AD194" s="83"/>
      <c r="AE194" s="77">
        <f t="shared" si="172"/>
        <v>107.63999999999999</v>
      </c>
      <c r="AF194" s="85"/>
    </row>
    <row r="195" spans="2:32" s="43" customFormat="1" hidden="1">
      <c r="B195" s="17" t="s">
        <v>11</v>
      </c>
      <c r="C195" s="40" t="s">
        <v>16</v>
      </c>
      <c r="D195" s="40" t="s">
        <v>76</v>
      </c>
      <c r="E195" s="91" t="s">
        <v>102</v>
      </c>
      <c r="F195" s="40" t="s">
        <v>51</v>
      </c>
      <c r="G195" s="40"/>
      <c r="H195" s="40" t="s">
        <v>52</v>
      </c>
      <c r="I195" s="57">
        <v>2023</v>
      </c>
      <c r="J195" s="57">
        <v>12</v>
      </c>
      <c r="K195" s="29">
        <v>45597</v>
      </c>
      <c r="L195" s="66"/>
      <c r="M195" s="68">
        <v>0.2843</v>
      </c>
      <c r="N195" s="67">
        <f t="shared" si="147"/>
        <v>0.30180000000000001</v>
      </c>
      <c r="O195" s="67">
        <v>1.7500000000000002E-2</v>
      </c>
      <c r="P195" s="68">
        <f t="shared" si="168"/>
        <v>0</v>
      </c>
      <c r="Q195" s="100">
        <v>1</v>
      </c>
      <c r="R195" s="104">
        <f t="shared" si="82"/>
        <v>0.2843</v>
      </c>
      <c r="S195" s="73">
        <v>51000</v>
      </c>
      <c r="T195" s="77">
        <f t="shared" si="169"/>
        <v>78600</v>
      </c>
      <c r="U195" s="78">
        <v>884159.29203539796</v>
      </c>
      <c r="V195" s="78">
        <f t="shared" si="170"/>
        <v>882783.79203539796</v>
      </c>
      <c r="W195" s="40" t="s">
        <v>78</v>
      </c>
      <c r="X195" s="129" t="s">
        <v>100</v>
      </c>
      <c r="Y195" s="79">
        <v>4.5999999999999996</v>
      </c>
      <c r="Z195" s="79"/>
      <c r="AA195" s="79"/>
      <c r="AB195" s="80"/>
      <c r="AC195" s="78">
        <f t="shared" si="171"/>
        <v>15391.800000000001</v>
      </c>
      <c r="AD195" s="83"/>
      <c r="AE195" s="77">
        <f t="shared" si="172"/>
        <v>234.59999999999997</v>
      </c>
      <c r="AF195" s="85"/>
    </row>
    <row r="196" spans="2:32" s="43" customFormat="1" hidden="1">
      <c r="B196" s="17" t="s">
        <v>11</v>
      </c>
      <c r="C196" s="40" t="s">
        <v>16</v>
      </c>
      <c r="D196" s="40" t="s">
        <v>76</v>
      </c>
      <c r="E196" s="91" t="s">
        <v>102</v>
      </c>
      <c r="F196" s="40" t="s">
        <v>51</v>
      </c>
      <c r="G196" s="40"/>
      <c r="H196" s="40" t="s">
        <v>52</v>
      </c>
      <c r="I196" s="57">
        <v>2023</v>
      </c>
      <c r="J196" s="57">
        <v>11</v>
      </c>
      <c r="K196" s="29">
        <v>45597</v>
      </c>
      <c r="L196" s="66"/>
      <c r="M196" s="68">
        <v>0.2843</v>
      </c>
      <c r="N196" s="67">
        <f t="shared" si="147"/>
        <v>0.30180000000000001</v>
      </c>
      <c r="O196" s="67">
        <v>1.7500000000000002E-2</v>
      </c>
      <c r="P196" s="68">
        <f t="shared" si="168"/>
        <v>0</v>
      </c>
      <c r="Q196" s="100">
        <v>1</v>
      </c>
      <c r="R196" s="104">
        <f t="shared" si="82"/>
        <v>0.2843</v>
      </c>
      <c r="S196" s="73">
        <v>27600</v>
      </c>
      <c r="T196" s="77">
        <f>S196</f>
        <v>27600</v>
      </c>
      <c r="U196" s="78">
        <v>884159.29203539796</v>
      </c>
      <c r="V196" s="78">
        <f t="shared" si="170"/>
        <v>883676.29203539796</v>
      </c>
      <c r="W196" s="40" t="s">
        <v>78</v>
      </c>
      <c r="X196" s="129" t="s">
        <v>100</v>
      </c>
      <c r="Y196" s="79">
        <v>4.5999999999999996</v>
      </c>
      <c r="Z196" s="79"/>
      <c r="AA196" s="79"/>
      <c r="AB196" s="80"/>
      <c r="AC196" s="78">
        <f t="shared" si="171"/>
        <v>8329.68</v>
      </c>
      <c r="AD196" s="83"/>
      <c r="AE196" s="77">
        <f t="shared" si="172"/>
        <v>126.95999999999998</v>
      </c>
      <c r="AF196" s="85"/>
    </row>
    <row r="197" spans="2:32" s="43" customFormat="1">
      <c r="B197" s="17" t="s">
        <v>11</v>
      </c>
      <c r="C197" s="40" t="s">
        <v>16</v>
      </c>
      <c r="D197" s="40" t="s">
        <v>85</v>
      </c>
      <c r="E197" s="91" t="s">
        <v>103</v>
      </c>
      <c r="F197" s="40" t="s">
        <v>51</v>
      </c>
      <c r="G197" s="40"/>
      <c r="H197" s="40" t="s">
        <v>52</v>
      </c>
      <c r="I197" s="57">
        <v>2025</v>
      </c>
      <c r="J197" s="57">
        <v>2</v>
      </c>
      <c r="K197" s="29">
        <v>45722</v>
      </c>
      <c r="L197" s="66"/>
      <c r="M197" s="132">
        <v>5.4300000000000001E-2</v>
      </c>
      <c r="N197" s="68">
        <f>M197+O197</f>
        <v>7.3050000000000004E-2</v>
      </c>
      <c r="O197" s="68">
        <v>1.8749999999999999E-2</v>
      </c>
      <c r="P197" s="68"/>
      <c r="Q197" s="100">
        <v>1</v>
      </c>
      <c r="R197" s="104">
        <f t="shared" ref="R197" si="173">Q197*M197</f>
        <v>5.4300000000000001E-2</v>
      </c>
      <c r="S197" s="73">
        <v>460000</v>
      </c>
      <c r="T197" s="144">
        <f>S197+T198</f>
        <v>14681815</v>
      </c>
      <c r="U197" s="136">
        <v>600000</v>
      </c>
      <c r="V197" s="136">
        <f t="shared" si="170"/>
        <v>324715.96875</v>
      </c>
      <c r="W197" s="40" t="s">
        <v>78</v>
      </c>
      <c r="X197" s="148" t="s">
        <v>87</v>
      </c>
      <c r="Y197" s="79">
        <v>0.5</v>
      </c>
      <c r="Z197" s="79"/>
      <c r="AA197" s="79"/>
      <c r="AB197" s="80"/>
      <c r="AC197" s="78">
        <f t="shared" si="171"/>
        <v>33603</v>
      </c>
      <c r="AD197" s="83"/>
      <c r="AE197" s="77">
        <f t="shared" si="172"/>
        <v>230</v>
      </c>
      <c r="AF197" s="85"/>
    </row>
    <row r="198" spans="2:32" s="43" customFormat="1" hidden="1">
      <c r="B198" s="17" t="s">
        <v>11</v>
      </c>
      <c r="C198" s="40" t="s">
        <v>16</v>
      </c>
      <c r="D198" s="40" t="s">
        <v>85</v>
      </c>
      <c r="E198" s="91" t="s">
        <v>103</v>
      </c>
      <c r="F198" s="40" t="s">
        <v>51</v>
      </c>
      <c r="G198" s="40"/>
      <c r="H198" s="40" t="s">
        <v>52</v>
      </c>
      <c r="I198" s="57">
        <v>2025</v>
      </c>
      <c r="J198" s="57">
        <v>1</v>
      </c>
      <c r="K198" s="29">
        <v>45705</v>
      </c>
      <c r="L198" s="66"/>
      <c r="M198" s="68">
        <v>6.9099999999999995E-2</v>
      </c>
      <c r="N198" s="68">
        <v>8.7849999999999998E-2</v>
      </c>
      <c r="O198" s="68">
        <v>1.8749999999999999E-2</v>
      </c>
      <c r="P198" s="68"/>
      <c r="Q198" s="100">
        <v>1</v>
      </c>
      <c r="R198" s="104">
        <f t="shared" si="82"/>
        <v>6.9099999999999995E-2</v>
      </c>
      <c r="S198" s="73">
        <v>324000</v>
      </c>
      <c r="T198" s="77">
        <f>S198+T199</f>
        <v>14221815</v>
      </c>
      <c r="U198" s="78">
        <v>600000</v>
      </c>
      <c r="V198" s="78">
        <f t="shared" ref="V198" si="174">U198-O198*T198</f>
        <v>333340.96875</v>
      </c>
      <c r="W198" s="40" t="s">
        <v>78</v>
      </c>
      <c r="X198" s="148" t="s">
        <v>87</v>
      </c>
      <c r="Y198" s="79">
        <v>0.5</v>
      </c>
      <c r="Z198" s="79"/>
      <c r="AA198" s="79"/>
      <c r="AB198" s="80"/>
      <c r="AC198" s="78">
        <f t="shared" ref="AC198" si="175">N198*S198</f>
        <v>28463.399999999998</v>
      </c>
      <c r="AD198" s="83"/>
      <c r="AE198" s="77">
        <f t="shared" ref="AE198" si="176">S198*Y198/1000</f>
        <v>162</v>
      </c>
      <c r="AF198" s="85"/>
    </row>
    <row r="199" spans="2:32" s="43" customFormat="1" hidden="1">
      <c r="B199" s="17" t="s">
        <v>11</v>
      </c>
      <c r="C199" s="40" t="s">
        <v>16</v>
      </c>
      <c r="D199" s="40" t="s">
        <v>85</v>
      </c>
      <c r="E199" s="91" t="s">
        <v>103</v>
      </c>
      <c r="F199" s="40" t="s">
        <v>51</v>
      </c>
      <c r="G199" s="40"/>
      <c r="H199" s="40" t="s">
        <v>52</v>
      </c>
      <c r="I199" s="57">
        <v>2024</v>
      </c>
      <c r="J199" s="57">
        <v>12</v>
      </c>
      <c r="K199" s="29">
        <v>45665</v>
      </c>
      <c r="L199" s="66"/>
      <c r="M199" s="68">
        <v>6.9099999999999995E-2</v>
      </c>
      <c r="N199" s="68">
        <v>8.7849999999999998E-2</v>
      </c>
      <c r="O199" s="68">
        <v>1.8749999999999999E-2</v>
      </c>
      <c r="P199" s="68"/>
      <c r="Q199" s="100">
        <v>1</v>
      </c>
      <c r="R199" s="104">
        <f t="shared" ref="R199" si="177">Q199*M199</f>
        <v>6.9099999999999995E-2</v>
      </c>
      <c r="S199" s="73">
        <v>304750</v>
      </c>
      <c r="T199" s="77">
        <f>S199+T200</f>
        <v>13897815</v>
      </c>
      <c r="U199" s="78">
        <v>600000</v>
      </c>
      <c r="V199" s="78">
        <f t="shared" si="170"/>
        <v>339415.96875</v>
      </c>
      <c r="W199" s="40" t="s">
        <v>78</v>
      </c>
      <c r="X199" s="148" t="s">
        <v>87</v>
      </c>
      <c r="Y199" s="79">
        <v>0.5</v>
      </c>
      <c r="Z199" s="79"/>
      <c r="AA199" s="79"/>
      <c r="AB199" s="80"/>
      <c r="AC199" s="78">
        <f t="shared" si="171"/>
        <v>26772.287499999999</v>
      </c>
      <c r="AD199" s="83"/>
      <c r="AE199" s="77">
        <f t="shared" si="172"/>
        <v>152.375</v>
      </c>
      <c r="AF199" s="85"/>
    </row>
    <row r="200" spans="2:32" s="43" customFormat="1" hidden="1">
      <c r="B200" s="17" t="s">
        <v>11</v>
      </c>
      <c r="C200" s="40" t="s">
        <v>16</v>
      </c>
      <c r="D200" s="40" t="s">
        <v>85</v>
      </c>
      <c r="E200" s="91" t="s">
        <v>103</v>
      </c>
      <c r="F200" s="40" t="s">
        <v>51</v>
      </c>
      <c r="G200" s="40"/>
      <c r="H200" s="40" t="s">
        <v>52</v>
      </c>
      <c r="I200" s="57">
        <v>2024</v>
      </c>
      <c r="J200" s="57">
        <v>11</v>
      </c>
      <c r="K200" s="29">
        <v>45629</v>
      </c>
      <c r="L200" s="66"/>
      <c r="M200" s="68">
        <v>6.9099999999999995E-2</v>
      </c>
      <c r="N200" s="68">
        <v>8.7849999999999998E-2</v>
      </c>
      <c r="O200" s="68">
        <v>1.8749999999999999E-2</v>
      </c>
      <c r="P200" s="68"/>
      <c r="Q200" s="100">
        <v>1</v>
      </c>
      <c r="R200" s="104">
        <f t="shared" si="82"/>
        <v>6.9099999999999995E-2</v>
      </c>
      <c r="S200" s="73">
        <v>854509</v>
      </c>
      <c r="T200" s="77">
        <f>S200+T201</f>
        <v>13593065</v>
      </c>
      <c r="U200" s="78">
        <v>600000</v>
      </c>
      <c r="V200" s="78">
        <f t="shared" ref="V200" si="178">U200-O200*T200</f>
        <v>345130.03125</v>
      </c>
      <c r="W200" s="40" t="s">
        <v>78</v>
      </c>
      <c r="X200" s="148" t="s">
        <v>87</v>
      </c>
      <c r="Y200" s="79">
        <v>0.5</v>
      </c>
      <c r="Z200" s="79"/>
      <c r="AA200" s="79"/>
      <c r="AB200" s="80"/>
      <c r="AC200" s="78">
        <f t="shared" ref="AC200" si="179">N200*S200</f>
        <v>75068.615649999992</v>
      </c>
      <c r="AD200" s="83"/>
      <c r="AE200" s="77">
        <f t="shared" ref="AE200" si="180">S200*Y200/1000</f>
        <v>427.25450000000001</v>
      </c>
      <c r="AF200" s="85"/>
    </row>
    <row r="201" spans="2:32" s="43" customFormat="1" hidden="1">
      <c r="B201" s="17" t="s">
        <v>11</v>
      </c>
      <c r="C201" s="40" t="s">
        <v>16</v>
      </c>
      <c r="D201" s="40" t="s">
        <v>85</v>
      </c>
      <c r="E201" s="91" t="s">
        <v>103</v>
      </c>
      <c r="F201" s="40" t="s">
        <v>51</v>
      </c>
      <c r="G201" s="40"/>
      <c r="H201" s="40" t="s">
        <v>52</v>
      </c>
      <c r="I201" s="57">
        <v>2024</v>
      </c>
      <c r="J201" s="57">
        <v>10</v>
      </c>
      <c r="K201" s="29">
        <v>45601</v>
      </c>
      <c r="L201" s="66"/>
      <c r="M201" s="68">
        <v>6.9099999999999995E-2</v>
      </c>
      <c r="N201" s="68">
        <v>8.7849999999999998E-2</v>
      </c>
      <c r="O201" s="68">
        <v>1.8749999999999999E-2</v>
      </c>
      <c r="P201" s="68"/>
      <c r="Q201" s="100">
        <v>1</v>
      </c>
      <c r="R201" s="104">
        <f t="shared" si="82"/>
        <v>6.9099999999999995E-2</v>
      </c>
      <c r="S201" s="73">
        <v>1497137</v>
      </c>
      <c r="T201" s="77">
        <f>S201+T202</f>
        <v>12738556</v>
      </c>
      <c r="U201" s="78">
        <v>600000</v>
      </c>
      <c r="V201" s="78">
        <f t="shared" si="170"/>
        <v>361152.07500000001</v>
      </c>
      <c r="W201" s="40" t="s">
        <v>78</v>
      </c>
      <c r="X201" s="148" t="s">
        <v>87</v>
      </c>
      <c r="Y201" s="79">
        <v>0.5</v>
      </c>
      <c r="Z201" s="79"/>
      <c r="AA201" s="79"/>
      <c r="AB201" s="80"/>
      <c r="AC201" s="78">
        <f t="shared" si="171"/>
        <v>131523.48545000001</v>
      </c>
      <c r="AD201" s="83"/>
      <c r="AE201" s="77">
        <f t="shared" si="172"/>
        <v>748.56849999999997</v>
      </c>
      <c r="AF201" s="85"/>
    </row>
    <row r="202" spans="2:32" s="43" customFormat="1" hidden="1">
      <c r="B202" s="17" t="s">
        <v>11</v>
      </c>
      <c r="C202" s="40" t="str">
        <f>VLOOKUP(B202,[1]Sheet1!$A:$B,2,0)</f>
        <v>MODI</v>
      </c>
      <c r="D202" s="40" t="s">
        <v>85</v>
      </c>
      <c r="E202" s="91" t="s">
        <v>103</v>
      </c>
      <c r="F202" s="40" t="s">
        <v>51</v>
      </c>
      <c r="G202" s="40"/>
      <c r="H202" s="40" t="s">
        <v>52</v>
      </c>
      <c r="I202" s="57">
        <v>2024</v>
      </c>
      <c r="J202" s="57">
        <v>9</v>
      </c>
      <c r="K202" s="29">
        <v>45597</v>
      </c>
      <c r="L202" s="66"/>
      <c r="M202" s="68">
        <v>6.9099999999999995E-2</v>
      </c>
      <c r="N202" s="68">
        <v>8.7849999999999998E-2</v>
      </c>
      <c r="O202" s="68">
        <v>1.8749999999999999E-2</v>
      </c>
      <c r="P202" s="68">
        <f t="shared" ref="P202:P212" si="181">L202*O202</f>
        <v>0</v>
      </c>
      <c r="Q202" s="100">
        <v>1</v>
      </c>
      <c r="R202" s="104">
        <f t="shared" si="82"/>
        <v>6.9099999999999995E-2</v>
      </c>
      <c r="S202" s="73">
        <v>1647000</v>
      </c>
      <c r="T202" s="77">
        <v>11241419</v>
      </c>
      <c r="U202" s="78">
        <v>600000</v>
      </c>
      <c r="V202" s="78">
        <f>U202-O202*T202</f>
        <v>389223.39375000005</v>
      </c>
      <c r="W202" s="40" t="s">
        <v>78</v>
      </c>
      <c r="X202" s="148" t="s">
        <v>87</v>
      </c>
      <c r="Y202" s="79">
        <v>0.5</v>
      </c>
      <c r="Z202" s="79"/>
      <c r="AA202" s="79"/>
      <c r="AB202" s="80"/>
      <c r="AC202" s="78">
        <f>N202*S202</f>
        <v>144688.94999999998</v>
      </c>
      <c r="AD202" s="83"/>
      <c r="AE202" s="77">
        <f>S202*Y202/1000</f>
        <v>823.5</v>
      </c>
      <c r="AF202" s="84"/>
    </row>
    <row r="203" spans="2:32" s="43" customFormat="1" hidden="1">
      <c r="B203" s="17" t="s">
        <v>11</v>
      </c>
      <c r="C203" s="40" t="s">
        <v>16</v>
      </c>
      <c r="D203" s="40" t="s">
        <v>85</v>
      </c>
      <c r="E203" s="91" t="s">
        <v>103</v>
      </c>
      <c r="F203" s="40" t="s">
        <v>51</v>
      </c>
      <c r="G203" s="40"/>
      <c r="H203" s="40" t="s">
        <v>52</v>
      </c>
      <c r="I203" s="57">
        <v>2024</v>
      </c>
      <c r="J203" s="57">
        <v>8</v>
      </c>
      <c r="K203" s="29">
        <v>45597</v>
      </c>
      <c r="L203" s="66"/>
      <c r="M203" s="68">
        <v>6.9099999999999995E-2</v>
      </c>
      <c r="N203" s="68">
        <v>8.7849999999999998E-2</v>
      </c>
      <c r="O203" s="68">
        <v>1.8749999999999999E-2</v>
      </c>
      <c r="P203" s="68">
        <f t="shared" si="181"/>
        <v>0</v>
      </c>
      <c r="Q203" s="100">
        <v>1</v>
      </c>
      <c r="R203" s="104">
        <f t="shared" si="82"/>
        <v>6.9099999999999995E-2</v>
      </c>
      <c r="S203" s="73">
        <v>1444500</v>
      </c>
      <c r="T203" s="77">
        <f t="shared" ref="T203:T211" si="182">S203+T204</f>
        <v>9594419</v>
      </c>
      <c r="U203" s="78">
        <v>600000</v>
      </c>
      <c r="V203" s="78">
        <f t="shared" ref="V203:V217" si="183">U203-O203*T203</f>
        <v>420104.64375000005</v>
      </c>
      <c r="W203" s="40" t="s">
        <v>78</v>
      </c>
      <c r="X203" s="148" t="s">
        <v>87</v>
      </c>
      <c r="Y203" s="79">
        <v>0.5</v>
      </c>
      <c r="Z203" s="79"/>
      <c r="AA203" s="79"/>
      <c r="AB203" s="80"/>
      <c r="AC203" s="78">
        <f t="shared" ref="AC203:AC217" si="184">N203*S203</f>
        <v>126899.325</v>
      </c>
      <c r="AD203" s="83"/>
      <c r="AE203" s="77">
        <f t="shared" ref="AE203:AE217" si="185">S203*Y203/1000</f>
        <v>722.25</v>
      </c>
      <c r="AF203" s="84"/>
    </row>
    <row r="204" spans="2:32" s="43" customFormat="1" hidden="1">
      <c r="B204" s="17" t="s">
        <v>11</v>
      </c>
      <c r="C204" s="40" t="s">
        <v>16</v>
      </c>
      <c r="D204" s="40" t="s">
        <v>85</v>
      </c>
      <c r="E204" s="91" t="s">
        <v>103</v>
      </c>
      <c r="F204" s="40" t="s">
        <v>51</v>
      </c>
      <c r="G204" s="40"/>
      <c r="H204" s="40" t="s">
        <v>52</v>
      </c>
      <c r="I204" s="57">
        <v>2024</v>
      </c>
      <c r="J204" s="57">
        <v>7</v>
      </c>
      <c r="K204" s="29">
        <v>45597</v>
      </c>
      <c r="L204" s="66"/>
      <c r="M204" s="68">
        <v>6.9099999999999995E-2</v>
      </c>
      <c r="N204" s="68">
        <v>8.7849999999999998E-2</v>
      </c>
      <c r="O204" s="68">
        <v>1.8749999999999999E-2</v>
      </c>
      <c r="P204" s="68">
        <f t="shared" si="181"/>
        <v>0</v>
      </c>
      <c r="Q204" s="100">
        <v>1</v>
      </c>
      <c r="R204" s="104">
        <f t="shared" si="82"/>
        <v>6.9099999999999995E-2</v>
      </c>
      <c r="S204" s="73">
        <v>1753349</v>
      </c>
      <c r="T204" s="77">
        <f t="shared" si="182"/>
        <v>8149919</v>
      </c>
      <c r="U204" s="78">
        <v>600000</v>
      </c>
      <c r="V204" s="78">
        <f t="shared" si="183"/>
        <v>447189.01875000005</v>
      </c>
      <c r="W204" s="40" t="s">
        <v>78</v>
      </c>
      <c r="X204" s="148" t="s">
        <v>87</v>
      </c>
      <c r="Y204" s="79">
        <v>0.5</v>
      </c>
      <c r="Z204" s="79"/>
      <c r="AA204" s="79"/>
      <c r="AB204" s="80"/>
      <c r="AC204" s="78">
        <f t="shared" si="184"/>
        <v>154031.70965</v>
      </c>
      <c r="AD204" s="83"/>
      <c r="AE204" s="77">
        <f t="shared" si="185"/>
        <v>876.67449999999997</v>
      </c>
      <c r="AF204" s="84"/>
    </row>
    <row r="205" spans="2:32" s="43" customFormat="1" hidden="1">
      <c r="B205" s="17" t="s">
        <v>11</v>
      </c>
      <c r="C205" s="40" t="s">
        <v>16</v>
      </c>
      <c r="D205" s="40" t="s">
        <v>85</v>
      </c>
      <c r="E205" s="91" t="s">
        <v>103</v>
      </c>
      <c r="F205" s="40" t="s">
        <v>51</v>
      </c>
      <c r="G205" s="40"/>
      <c r="H205" s="40" t="s">
        <v>52</v>
      </c>
      <c r="I205" s="57">
        <v>2024</v>
      </c>
      <c r="J205" s="57">
        <v>6</v>
      </c>
      <c r="K205" s="29">
        <v>45597</v>
      </c>
      <c r="L205" s="66"/>
      <c r="M205" s="68">
        <v>6.9099999999999995E-2</v>
      </c>
      <c r="N205" s="68">
        <v>8.7849999999999998E-2</v>
      </c>
      <c r="O205" s="68">
        <v>1.8749999999999999E-2</v>
      </c>
      <c r="P205" s="68">
        <f t="shared" si="181"/>
        <v>0</v>
      </c>
      <c r="Q205" s="100">
        <v>1</v>
      </c>
      <c r="R205" s="104">
        <f t="shared" si="82"/>
        <v>6.9099999999999995E-2</v>
      </c>
      <c r="S205" s="73">
        <v>1647000</v>
      </c>
      <c r="T205" s="77">
        <f t="shared" si="182"/>
        <v>6396570</v>
      </c>
      <c r="U205" s="78">
        <v>600000</v>
      </c>
      <c r="V205" s="78">
        <f t="shared" si="183"/>
        <v>480064.3125</v>
      </c>
      <c r="W205" s="40" t="s">
        <v>78</v>
      </c>
      <c r="X205" s="148" t="s">
        <v>87</v>
      </c>
      <c r="Y205" s="79">
        <v>0.5</v>
      </c>
      <c r="Z205" s="79"/>
      <c r="AA205" s="79"/>
      <c r="AB205" s="80"/>
      <c r="AC205" s="78">
        <f t="shared" si="184"/>
        <v>144688.94999999998</v>
      </c>
      <c r="AD205" s="83"/>
      <c r="AE205" s="77">
        <f t="shared" si="185"/>
        <v>823.5</v>
      </c>
      <c r="AF205" s="84"/>
    </row>
    <row r="206" spans="2:32" s="43" customFormat="1" hidden="1">
      <c r="B206" s="17" t="s">
        <v>11</v>
      </c>
      <c r="C206" s="40" t="s">
        <v>16</v>
      </c>
      <c r="D206" s="40" t="s">
        <v>85</v>
      </c>
      <c r="E206" s="91" t="s">
        <v>103</v>
      </c>
      <c r="F206" s="40" t="s">
        <v>51</v>
      </c>
      <c r="G206" s="40"/>
      <c r="H206" s="40" t="s">
        <v>52</v>
      </c>
      <c r="I206" s="57">
        <v>2024</v>
      </c>
      <c r="J206" s="57">
        <v>5</v>
      </c>
      <c r="K206" s="29">
        <v>45597</v>
      </c>
      <c r="L206" s="66"/>
      <c r="M206" s="68">
        <v>6.9099999999999995E-2</v>
      </c>
      <c r="N206" s="68">
        <v>8.7849999999999998E-2</v>
      </c>
      <c r="O206" s="68">
        <v>1.8749999999999999E-2</v>
      </c>
      <c r="P206" s="68">
        <f t="shared" si="181"/>
        <v>0</v>
      </c>
      <c r="Q206" s="100">
        <v>1</v>
      </c>
      <c r="R206" s="104">
        <f t="shared" si="82"/>
        <v>6.9099999999999995E-2</v>
      </c>
      <c r="S206" s="73">
        <v>1432210</v>
      </c>
      <c r="T206" s="77">
        <f t="shared" si="182"/>
        <v>4749570</v>
      </c>
      <c r="U206" s="78">
        <v>600000</v>
      </c>
      <c r="V206" s="78">
        <f t="shared" si="183"/>
        <v>510945.5625</v>
      </c>
      <c r="W206" s="40" t="s">
        <v>78</v>
      </c>
      <c r="X206" s="148" t="s">
        <v>87</v>
      </c>
      <c r="Y206" s="79">
        <v>0.5</v>
      </c>
      <c r="Z206" s="79"/>
      <c r="AA206" s="79"/>
      <c r="AB206" s="80"/>
      <c r="AC206" s="78">
        <f t="shared" si="184"/>
        <v>125819.6485</v>
      </c>
      <c r="AD206" s="83"/>
      <c r="AE206" s="77">
        <f t="shared" si="185"/>
        <v>716.10500000000002</v>
      </c>
      <c r="AF206" s="84"/>
    </row>
    <row r="207" spans="2:32" s="43" customFormat="1" hidden="1">
      <c r="B207" s="17" t="s">
        <v>11</v>
      </c>
      <c r="C207" s="40" t="s">
        <v>16</v>
      </c>
      <c r="D207" s="40" t="s">
        <v>85</v>
      </c>
      <c r="E207" s="91" t="s">
        <v>103</v>
      </c>
      <c r="F207" s="40" t="s">
        <v>51</v>
      </c>
      <c r="G207" s="40"/>
      <c r="H207" s="40" t="s">
        <v>52</v>
      </c>
      <c r="I207" s="57">
        <v>2024</v>
      </c>
      <c r="J207" s="57">
        <v>4</v>
      </c>
      <c r="K207" s="29">
        <v>45597</v>
      </c>
      <c r="L207" s="66"/>
      <c r="M207" s="68">
        <v>6.9099999999999995E-2</v>
      </c>
      <c r="N207" s="68">
        <v>8.7849999999999998E-2</v>
      </c>
      <c r="O207" s="68">
        <v>1.8749999999999999E-2</v>
      </c>
      <c r="P207" s="68">
        <f t="shared" si="181"/>
        <v>0</v>
      </c>
      <c r="Q207" s="100">
        <v>1</v>
      </c>
      <c r="R207" s="104">
        <f t="shared" si="82"/>
        <v>6.9099999999999995E-2</v>
      </c>
      <c r="S207" s="73">
        <v>1914360</v>
      </c>
      <c r="T207" s="77">
        <f t="shared" si="182"/>
        <v>3317360</v>
      </c>
      <c r="U207" s="78">
        <v>600000</v>
      </c>
      <c r="V207" s="78">
        <f t="shared" si="183"/>
        <v>537799.5</v>
      </c>
      <c r="W207" s="40" t="s">
        <v>78</v>
      </c>
      <c r="X207" s="148" t="s">
        <v>87</v>
      </c>
      <c r="Y207" s="79">
        <v>0.5</v>
      </c>
      <c r="Z207" s="79"/>
      <c r="AA207" s="79"/>
      <c r="AB207" s="80"/>
      <c r="AC207" s="78">
        <f t="shared" si="184"/>
        <v>168176.52599999998</v>
      </c>
      <c r="AD207" s="83"/>
      <c r="AE207" s="77">
        <f t="shared" si="185"/>
        <v>957.18</v>
      </c>
      <c r="AF207" s="84"/>
    </row>
    <row r="208" spans="2:32" s="43" customFormat="1" hidden="1">
      <c r="B208" s="17" t="s">
        <v>11</v>
      </c>
      <c r="C208" s="40" t="s">
        <v>16</v>
      </c>
      <c r="D208" s="40" t="s">
        <v>85</v>
      </c>
      <c r="E208" s="91" t="s">
        <v>103</v>
      </c>
      <c r="F208" s="40" t="s">
        <v>51</v>
      </c>
      <c r="G208" s="40"/>
      <c r="H208" s="40" t="s">
        <v>52</v>
      </c>
      <c r="I208" s="57">
        <v>2024</v>
      </c>
      <c r="J208" s="57">
        <v>3</v>
      </c>
      <c r="K208" s="29">
        <v>45597</v>
      </c>
      <c r="L208" s="66"/>
      <c r="M208" s="68">
        <v>6.9099999999999995E-2</v>
      </c>
      <c r="N208" s="68">
        <v>8.7849999999999998E-2</v>
      </c>
      <c r="O208" s="68">
        <v>1.8749999999999999E-2</v>
      </c>
      <c r="P208" s="68">
        <f t="shared" si="181"/>
        <v>0</v>
      </c>
      <c r="Q208" s="100">
        <v>1</v>
      </c>
      <c r="R208" s="104">
        <f t="shared" si="82"/>
        <v>6.9099999999999995E-2</v>
      </c>
      <c r="S208" s="73">
        <v>830000</v>
      </c>
      <c r="T208" s="77">
        <f t="shared" si="182"/>
        <v>1403000</v>
      </c>
      <c r="U208" s="78">
        <v>600000</v>
      </c>
      <c r="V208" s="78">
        <f t="shared" si="183"/>
        <v>573693.75</v>
      </c>
      <c r="W208" s="40" t="s">
        <v>78</v>
      </c>
      <c r="X208" s="148" t="s">
        <v>87</v>
      </c>
      <c r="Y208" s="79">
        <v>0.5</v>
      </c>
      <c r="Z208" s="79"/>
      <c r="AA208" s="79"/>
      <c r="AB208" s="80"/>
      <c r="AC208" s="78">
        <f t="shared" si="184"/>
        <v>72915.5</v>
      </c>
      <c r="AD208" s="83"/>
      <c r="AE208" s="77">
        <f t="shared" si="185"/>
        <v>415</v>
      </c>
      <c r="AF208" s="84"/>
    </row>
    <row r="209" spans="2:32" s="43" customFormat="1" hidden="1">
      <c r="B209" s="17" t="s">
        <v>11</v>
      </c>
      <c r="C209" s="40" t="s">
        <v>16</v>
      </c>
      <c r="D209" s="40" t="s">
        <v>85</v>
      </c>
      <c r="E209" s="91" t="s">
        <v>103</v>
      </c>
      <c r="F209" s="40" t="s">
        <v>51</v>
      </c>
      <c r="G209" s="40"/>
      <c r="H209" s="40" t="s">
        <v>52</v>
      </c>
      <c r="I209" s="57">
        <v>2024</v>
      </c>
      <c r="J209" s="57">
        <v>2</v>
      </c>
      <c r="K209" s="29">
        <v>45597</v>
      </c>
      <c r="L209" s="66"/>
      <c r="M209" s="68">
        <v>6.9099999999999995E-2</v>
      </c>
      <c r="N209" s="68">
        <v>8.7849999999999998E-2</v>
      </c>
      <c r="O209" s="68">
        <v>1.8749999999999999E-2</v>
      </c>
      <c r="P209" s="68">
        <f t="shared" si="181"/>
        <v>0</v>
      </c>
      <c r="Q209" s="100">
        <v>1</v>
      </c>
      <c r="R209" s="104">
        <f t="shared" si="82"/>
        <v>6.9099999999999995E-2</v>
      </c>
      <c r="S209" s="73">
        <v>420000</v>
      </c>
      <c r="T209" s="77">
        <f t="shared" si="182"/>
        <v>573000</v>
      </c>
      <c r="U209" s="78">
        <v>600000</v>
      </c>
      <c r="V209" s="78">
        <f t="shared" si="183"/>
        <v>589256.25</v>
      </c>
      <c r="W209" s="40" t="s">
        <v>78</v>
      </c>
      <c r="X209" s="148" t="s">
        <v>87</v>
      </c>
      <c r="Y209" s="79">
        <v>0.5</v>
      </c>
      <c r="Z209" s="79"/>
      <c r="AA209" s="79"/>
      <c r="AB209" s="80"/>
      <c r="AC209" s="78">
        <f t="shared" si="184"/>
        <v>36897</v>
      </c>
      <c r="AD209" s="83"/>
      <c r="AE209" s="77">
        <f t="shared" si="185"/>
        <v>210</v>
      </c>
      <c r="AF209" s="84"/>
    </row>
    <row r="210" spans="2:32" s="43" customFormat="1" hidden="1">
      <c r="B210" s="17" t="s">
        <v>11</v>
      </c>
      <c r="C210" s="40" t="s">
        <v>16</v>
      </c>
      <c r="D210" s="40" t="s">
        <v>85</v>
      </c>
      <c r="E210" s="91" t="s">
        <v>103</v>
      </c>
      <c r="F210" s="40" t="s">
        <v>51</v>
      </c>
      <c r="G210" s="40"/>
      <c r="H210" s="40" t="s">
        <v>52</v>
      </c>
      <c r="I210" s="57">
        <v>2024</v>
      </c>
      <c r="J210" s="57">
        <v>1</v>
      </c>
      <c r="K210" s="29">
        <v>45597</v>
      </c>
      <c r="L210" s="66"/>
      <c r="M210" s="68">
        <v>6.9099999999999995E-2</v>
      </c>
      <c r="N210" s="68">
        <v>8.7849999999999998E-2</v>
      </c>
      <c r="O210" s="68">
        <v>1.8749999999999999E-2</v>
      </c>
      <c r="P210" s="68">
        <f t="shared" si="181"/>
        <v>0</v>
      </c>
      <c r="Q210" s="100">
        <v>1</v>
      </c>
      <c r="R210" s="104">
        <f t="shared" si="82"/>
        <v>6.9099999999999995E-2</v>
      </c>
      <c r="S210" s="73">
        <v>80000</v>
      </c>
      <c r="T210" s="77">
        <f t="shared" si="182"/>
        <v>153000</v>
      </c>
      <c r="U210" s="78">
        <v>600000</v>
      </c>
      <c r="V210" s="78">
        <f t="shared" si="183"/>
        <v>597131.25</v>
      </c>
      <c r="W210" s="40" t="s">
        <v>78</v>
      </c>
      <c r="X210" s="148" t="s">
        <v>87</v>
      </c>
      <c r="Y210" s="79">
        <v>0.5</v>
      </c>
      <c r="Z210" s="79"/>
      <c r="AA210" s="79"/>
      <c r="AB210" s="80"/>
      <c r="AC210" s="78">
        <f t="shared" si="184"/>
        <v>7028</v>
      </c>
      <c r="AD210" s="83"/>
      <c r="AE210" s="77">
        <f t="shared" si="185"/>
        <v>40</v>
      </c>
      <c r="AF210" s="84"/>
    </row>
    <row r="211" spans="2:32" s="43" customFormat="1" hidden="1">
      <c r="B211" s="17" t="s">
        <v>11</v>
      </c>
      <c r="C211" s="40" t="s">
        <v>16</v>
      </c>
      <c r="D211" s="40" t="s">
        <v>85</v>
      </c>
      <c r="E211" s="91" t="s">
        <v>103</v>
      </c>
      <c r="F211" s="40" t="s">
        <v>51</v>
      </c>
      <c r="G211" s="40"/>
      <c r="H211" s="40" t="s">
        <v>52</v>
      </c>
      <c r="I211" s="57">
        <v>2023</v>
      </c>
      <c r="J211" s="57">
        <v>12</v>
      </c>
      <c r="K211" s="29">
        <v>45597</v>
      </c>
      <c r="L211" s="66"/>
      <c r="M211" s="68">
        <v>6.9099999999999995E-2</v>
      </c>
      <c r="N211" s="68">
        <v>8.7849999999999998E-2</v>
      </c>
      <c r="O211" s="68">
        <v>1.8749999999999999E-2</v>
      </c>
      <c r="P211" s="68">
        <f t="shared" si="181"/>
        <v>0</v>
      </c>
      <c r="Q211" s="100">
        <v>1</v>
      </c>
      <c r="R211" s="104">
        <f t="shared" si="82"/>
        <v>6.9099999999999995E-2</v>
      </c>
      <c r="S211" s="73">
        <v>30200</v>
      </c>
      <c r="T211" s="77">
        <f t="shared" si="182"/>
        <v>73000</v>
      </c>
      <c r="U211" s="78">
        <v>600000</v>
      </c>
      <c r="V211" s="78">
        <f t="shared" si="183"/>
        <v>598631.25</v>
      </c>
      <c r="W211" s="40" t="s">
        <v>78</v>
      </c>
      <c r="X211" s="148" t="s">
        <v>87</v>
      </c>
      <c r="Y211" s="79">
        <v>0.5</v>
      </c>
      <c r="Z211" s="79"/>
      <c r="AA211" s="79"/>
      <c r="AB211" s="80"/>
      <c r="AC211" s="78">
        <f t="shared" si="184"/>
        <v>2653.0699999999997</v>
      </c>
      <c r="AD211" s="83"/>
      <c r="AE211" s="77">
        <f t="shared" si="185"/>
        <v>15.1</v>
      </c>
      <c r="AF211" s="84"/>
    </row>
    <row r="212" spans="2:32" s="43" customFormat="1" hidden="1">
      <c r="B212" s="17" t="s">
        <v>11</v>
      </c>
      <c r="C212" s="40" t="s">
        <v>16</v>
      </c>
      <c r="D212" s="40" t="s">
        <v>85</v>
      </c>
      <c r="E212" s="91" t="s">
        <v>103</v>
      </c>
      <c r="F212" s="40" t="s">
        <v>51</v>
      </c>
      <c r="G212" s="40"/>
      <c r="H212" s="40" t="s">
        <v>52</v>
      </c>
      <c r="I212" s="57">
        <v>2023</v>
      </c>
      <c r="J212" s="57">
        <v>11</v>
      </c>
      <c r="K212" s="29">
        <v>45597</v>
      </c>
      <c r="L212" s="66"/>
      <c r="M212" s="68">
        <v>6.9099999999999995E-2</v>
      </c>
      <c r="N212" s="68">
        <v>8.7849999999999998E-2</v>
      </c>
      <c r="O212" s="68">
        <v>1.8749999999999999E-2</v>
      </c>
      <c r="P212" s="68">
        <f t="shared" si="181"/>
        <v>0</v>
      </c>
      <c r="Q212" s="100">
        <v>1</v>
      </c>
      <c r="R212" s="104">
        <f t="shared" si="82"/>
        <v>6.9099999999999995E-2</v>
      </c>
      <c r="S212" s="73">
        <v>42800</v>
      </c>
      <c r="T212" s="77">
        <f>S212</f>
        <v>42800</v>
      </c>
      <c r="U212" s="78">
        <v>600000</v>
      </c>
      <c r="V212" s="78">
        <f t="shared" si="183"/>
        <v>599197.5</v>
      </c>
      <c r="W212" s="40" t="s">
        <v>78</v>
      </c>
      <c r="X212" s="148" t="s">
        <v>87</v>
      </c>
      <c r="Y212" s="79">
        <v>0.5</v>
      </c>
      <c r="Z212" s="79"/>
      <c r="AA212" s="79"/>
      <c r="AB212" s="80"/>
      <c r="AC212" s="78">
        <f t="shared" si="184"/>
        <v>3759.98</v>
      </c>
      <c r="AD212" s="83"/>
      <c r="AE212" s="77">
        <f t="shared" si="185"/>
        <v>21.4</v>
      </c>
      <c r="AF212" s="84"/>
    </row>
    <row r="213" spans="2:32" s="43" customFormat="1">
      <c r="B213" s="17" t="s">
        <v>11</v>
      </c>
      <c r="C213" s="40" t="s">
        <v>16</v>
      </c>
      <c r="D213" s="40" t="s">
        <v>88</v>
      </c>
      <c r="E213" s="91" t="s">
        <v>104</v>
      </c>
      <c r="F213" s="40" t="s">
        <v>51</v>
      </c>
      <c r="G213" s="40"/>
      <c r="H213" s="40" t="s">
        <v>52</v>
      </c>
      <c r="I213" s="57">
        <v>2025</v>
      </c>
      <c r="J213" s="57">
        <v>2</v>
      </c>
      <c r="K213" s="29">
        <v>45722</v>
      </c>
      <c r="L213" s="66"/>
      <c r="M213" s="132">
        <v>7.5700000000000003E-2</v>
      </c>
      <c r="N213" s="68">
        <f>M213+O213</f>
        <v>9.4450000000000006E-2</v>
      </c>
      <c r="O213" s="68">
        <v>1.8749999999999999E-2</v>
      </c>
      <c r="P213" s="68"/>
      <c r="Q213" s="100">
        <v>1</v>
      </c>
      <c r="R213" s="104">
        <f t="shared" ref="R213" si="186">Q213*M213</f>
        <v>7.5700000000000003E-2</v>
      </c>
      <c r="S213" s="73">
        <v>500000</v>
      </c>
      <c r="T213" s="144">
        <f>S213+T214</f>
        <v>14444095</v>
      </c>
      <c r="U213" s="136">
        <v>755752.21238938102</v>
      </c>
      <c r="V213" s="136">
        <f t="shared" si="183"/>
        <v>484925.43113938102</v>
      </c>
      <c r="W213" s="40" t="s">
        <v>78</v>
      </c>
      <c r="X213" s="148" t="s">
        <v>87</v>
      </c>
      <c r="Y213" s="79">
        <v>1</v>
      </c>
      <c r="Z213" s="79"/>
      <c r="AA213" s="79"/>
      <c r="AB213" s="80"/>
      <c r="AC213" s="78">
        <f t="shared" si="184"/>
        <v>47225</v>
      </c>
      <c r="AD213" s="83"/>
      <c r="AE213" s="77">
        <f t="shared" si="185"/>
        <v>500</v>
      </c>
      <c r="AF213" s="84"/>
    </row>
    <row r="214" spans="2:32" s="43" customFormat="1" hidden="1">
      <c r="B214" s="17" t="s">
        <v>11</v>
      </c>
      <c r="C214" s="40" t="s">
        <v>16</v>
      </c>
      <c r="D214" s="40" t="s">
        <v>88</v>
      </c>
      <c r="E214" s="91" t="s">
        <v>104</v>
      </c>
      <c r="F214" s="40" t="s">
        <v>51</v>
      </c>
      <c r="G214" s="40"/>
      <c r="H214" s="40" t="s">
        <v>52</v>
      </c>
      <c r="I214" s="57">
        <v>2025</v>
      </c>
      <c r="J214" s="57">
        <v>1</v>
      </c>
      <c r="K214" s="29">
        <v>45705</v>
      </c>
      <c r="L214" s="66"/>
      <c r="M214" s="68">
        <v>9.0499999999999997E-2</v>
      </c>
      <c r="N214" s="68">
        <v>0.10925</v>
      </c>
      <c r="O214" s="68">
        <v>1.8749999999999999E-2</v>
      </c>
      <c r="P214" s="68"/>
      <c r="Q214" s="100">
        <v>1</v>
      </c>
      <c r="R214" s="104">
        <f t="shared" si="82"/>
        <v>9.0499999999999997E-2</v>
      </c>
      <c r="S214" s="73">
        <v>324000</v>
      </c>
      <c r="T214" s="77">
        <f>S214+T215</f>
        <v>13944095</v>
      </c>
      <c r="U214" s="78">
        <v>755752.21238938102</v>
      </c>
      <c r="V214" s="78">
        <f t="shared" ref="V214" si="187">U214-O214*T214</f>
        <v>494300.43113938102</v>
      </c>
      <c r="W214" s="40" t="s">
        <v>78</v>
      </c>
      <c r="X214" s="148" t="s">
        <v>87</v>
      </c>
      <c r="Y214" s="79">
        <v>1</v>
      </c>
      <c r="Z214" s="79"/>
      <c r="AA214" s="79"/>
      <c r="AB214" s="80"/>
      <c r="AC214" s="78">
        <f t="shared" ref="AC214" si="188">N214*S214</f>
        <v>35397</v>
      </c>
      <c r="AD214" s="83"/>
      <c r="AE214" s="77">
        <f t="shared" ref="AE214" si="189">S214*Y214/1000</f>
        <v>324</v>
      </c>
      <c r="AF214" s="84"/>
    </row>
    <row r="215" spans="2:32" s="43" customFormat="1" hidden="1">
      <c r="B215" s="17" t="s">
        <v>11</v>
      </c>
      <c r="C215" s="40" t="s">
        <v>16</v>
      </c>
      <c r="D215" s="40" t="s">
        <v>88</v>
      </c>
      <c r="E215" s="91" t="s">
        <v>104</v>
      </c>
      <c r="F215" s="40" t="s">
        <v>51</v>
      </c>
      <c r="G215" s="40"/>
      <c r="H215" s="40" t="s">
        <v>52</v>
      </c>
      <c r="I215" s="57">
        <v>2024</v>
      </c>
      <c r="J215" s="57">
        <v>12</v>
      </c>
      <c r="K215" s="29">
        <v>45665</v>
      </c>
      <c r="L215" s="66"/>
      <c r="M215" s="68">
        <v>9.0499999999999997E-2</v>
      </c>
      <c r="N215" s="68">
        <v>0.10925</v>
      </c>
      <c r="O215" s="68">
        <v>1.8749999999999999E-2</v>
      </c>
      <c r="P215" s="68"/>
      <c r="Q215" s="100">
        <v>1</v>
      </c>
      <c r="R215" s="104">
        <f t="shared" ref="R215" si="190">Q215*M215</f>
        <v>9.0499999999999997E-2</v>
      </c>
      <c r="S215" s="73">
        <v>306750</v>
      </c>
      <c r="T215" s="77">
        <f>S215+T216</f>
        <v>13620095</v>
      </c>
      <c r="U215" s="78">
        <v>755752.21238938102</v>
      </c>
      <c r="V215" s="78">
        <f t="shared" si="183"/>
        <v>500375.43113938102</v>
      </c>
      <c r="W215" s="40" t="s">
        <v>78</v>
      </c>
      <c r="X215" s="148" t="s">
        <v>87</v>
      </c>
      <c r="Y215" s="79">
        <v>1</v>
      </c>
      <c r="Z215" s="79"/>
      <c r="AA215" s="79"/>
      <c r="AB215" s="80"/>
      <c r="AC215" s="78">
        <f t="shared" si="184"/>
        <v>33512.4375</v>
      </c>
      <c r="AD215" s="83"/>
      <c r="AE215" s="77">
        <f t="shared" si="185"/>
        <v>306.75</v>
      </c>
      <c r="AF215" s="84"/>
    </row>
    <row r="216" spans="2:32" s="43" customFormat="1" hidden="1">
      <c r="B216" s="17" t="s">
        <v>11</v>
      </c>
      <c r="C216" s="40" t="s">
        <v>16</v>
      </c>
      <c r="D216" s="40" t="s">
        <v>88</v>
      </c>
      <c r="E216" s="91" t="s">
        <v>104</v>
      </c>
      <c r="F216" s="40" t="s">
        <v>51</v>
      </c>
      <c r="G216" s="40"/>
      <c r="H216" s="40" t="s">
        <v>52</v>
      </c>
      <c r="I216" s="57">
        <v>2024</v>
      </c>
      <c r="J216" s="57">
        <v>11</v>
      </c>
      <c r="K216" s="29">
        <v>45629</v>
      </c>
      <c r="L216" s="66"/>
      <c r="M216" s="68">
        <v>9.0499999999999997E-2</v>
      </c>
      <c r="N216" s="68">
        <v>0.10925</v>
      </c>
      <c r="O216" s="68">
        <v>1.8749999999999999E-2</v>
      </c>
      <c r="P216" s="68"/>
      <c r="Q216" s="100">
        <v>1</v>
      </c>
      <c r="R216" s="104">
        <f t="shared" si="82"/>
        <v>9.0499999999999997E-2</v>
      </c>
      <c r="S216" s="73">
        <v>713008</v>
      </c>
      <c r="T216" s="77">
        <f>S216+T217</f>
        <v>13313345</v>
      </c>
      <c r="U216" s="78">
        <v>755752.21238938102</v>
      </c>
      <c r="V216" s="78">
        <f t="shared" ref="V216" si="191">U216-O216*T216</f>
        <v>506126.99363938102</v>
      </c>
      <c r="W216" s="40" t="s">
        <v>78</v>
      </c>
      <c r="X216" s="148" t="s">
        <v>87</v>
      </c>
      <c r="Y216" s="79">
        <v>1</v>
      </c>
      <c r="Z216" s="79"/>
      <c r="AA216" s="79"/>
      <c r="AB216" s="80"/>
      <c r="AC216" s="78">
        <f t="shared" ref="AC216" si="192">N216*S216</f>
        <v>77896.123999999996</v>
      </c>
      <c r="AD216" s="83"/>
      <c r="AE216" s="77">
        <f t="shared" ref="AE216" si="193">S216*Y216/1000</f>
        <v>713.00800000000004</v>
      </c>
      <c r="AF216" s="84"/>
    </row>
    <row r="217" spans="2:32" s="43" customFormat="1" hidden="1">
      <c r="B217" s="17" t="s">
        <v>11</v>
      </c>
      <c r="C217" s="40" t="s">
        <v>16</v>
      </c>
      <c r="D217" s="40" t="s">
        <v>88</v>
      </c>
      <c r="E217" s="91" t="s">
        <v>104</v>
      </c>
      <c r="F217" s="40" t="s">
        <v>51</v>
      </c>
      <c r="G217" s="40"/>
      <c r="H217" s="40" t="s">
        <v>52</v>
      </c>
      <c r="I217" s="57">
        <v>2024</v>
      </c>
      <c r="J217" s="57">
        <v>10</v>
      </c>
      <c r="K217" s="29">
        <v>45601</v>
      </c>
      <c r="L217" s="66"/>
      <c r="M217" s="68">
        <v>9.0499999999999997E-2</v>
      </c>
      <c r="N217" s="68">
        <v>0.10925</v>
      </c>
      <c r="O217" s="68">
        <v>1.8749999999999999E-2</v>
      </c>
      <c r="P217" s="68"/>
      <c r="Q217" s="100">
        <v>1</v>
      </c>
      <c r="R217" s="104">
        <f t="shared" si="82"/>
        <v>9.0499999999999997E-2</v>
      </c>
      <c r="S217" s="73">
        <v>1561614</v>
      </c>
      <c r="T217" s="77">
        <f>S217+T218</f>
        <v>12600337</v>
      </c>
      <c r="U217" s="78">
        <v>755752.21238938102</v>
      </c>
      <c r="V217" s="78">
        <f t="shared" si="183"/>
        <v>519495.89363938104</v>
      </c>
      <c r="W217" s="40" t="s">
        <v>78</v>
      </c>
      <c r="X217" s="148" t="s">
        <v>87</v>
      </c>
      <c r="Y217" s="79">
        <v>1</v>
      </c>
      <c r="Z217" s="79"/>
      <c r="AA217" s="79"/>
      <c r="AB217" s="80"/>
      <c r="AC217" s="78">
        <f t="shared" si="184"/>
        <v>170606.32949999999</v>
      </c>
      <c r="AD217" s="83"/>
      <c r="AE217" s="77">
        <f t="shared" si="185"/>
        <v>1561.614</v>
      </c>
      <c r="AF217" s="84"/>
    </row>
    <row r="218" spans="2:32" s="43" customFormat="1" hidden="1">
      <c r="B218" s="17" t="s">
        <v>11</v>
      </c>
      <c r="C218" s="40" t="str">
        <f>VLOOKUP(B218,[1]Sheet1!$A:$B,2,0)</f>
        <v>MODI</v>
      </c>
      <c r="D218" s="40" t="s">
        <v>88</v>
      </c>
      <c r="E218" s="91" t="s">
        <v>104</v>
      </c>
      <c r="F218" s="40" t="s">
        <v>51</v>
      </c>
      <c r="G218" s="40"/>
      <c r="H218" s="40" t="s">
        <v>52</v>
      </c>
      <c r="I218" s="57">
        <v>2024</v>
      </c>
      <c r="J218" s="57">
        <v>9</v>
      </c>
      <c r="K218" s="29">
        <v>45597</v>
      </c>
      <c r="L218" s="66"/>
      <c r="M218" s="68">
        <v>9.0499999999999997E-2</v>
      </c>
      <c r="N218" s="68">
        <v>0.10925</v>
      </c>
      <c r="O218" s="68">
        <v>1.8749999999999999E-2</v>
      </c>
      <c r="P218" s="68">
        <f t="shared" ref="P218:P228" si="194">L218*O218</f>
        <v>0</v>
      </c>
      <c r="Q218" s="100">
        <v>1</v>
      </c>
      <c r="R218" s="104">
        <f t="shared" si="82"/>
        <v>9.0499999999999997E-2</v>
      </c>
      <c r="S218" s="73">
        <v>1665000</v>
      </c>
      <c r="T218" s="77">
        <v>11038723</v>
      </c>
      <c r="U218" s="78">
        <f>600000+145000/1.13+31000/1.13</f>
        <v>755752.21238938055</v>
      </c>
      <c r="V218" s="78">
        <f>U218-O218*T218</f>
        <v>548776.15613938053</v>
      </c>
      <c r="W218" s="40" t="s">
        <v>78</v>
      </c>
      <c r="X218" s="148" t="s">
        <v>87</v>
      </c>
      <c r="Y218" s="79">
        <v>1</v>
      </c>
      <c r="Z218" s="79"/>
      <c r="AA218" s="79"/>
      <c r="AB218" s="80"/>
      <c r="AC218" s="78">
        <f>N218*S218</f>
        <v>181901.25</v>
      </c>
      <c r="AD218" s="83"/>
      <c r="AE218" s="77">
        <f>S218*Y218/1000</f>
        <v>1665</v>
      </c>
      <c r="AF218" s="85" t="s">
        <v>105</v>
      </c>
    </row>
    <row r="219" spans="2:32" s="43" customFormat="1" hidden="1">
      <c r="B219" s="17" t="s">
        <v>11</v>
      </c>
      <c r="C219" s="40" t="s">
        <v>16</v>
      </c>
      <c r="D219" s="40" t="s">
        <v>88</v>
      </c>
      <c r="E219" s="91" t="s">
        <v>104</v>
      </c>
      <c r="F219" s="40" t="s">
        <v>51</v>
      </c>
      <c r="G219" s="40"/>
      <c r="H219" s="40" t="s">
        <v>52</v>
      </c>
      <c r="I219" s="57">
        <v>2024</v>
      </c>
      <c r="J219" s="57">
        <v>8</v>
      </c>
      <c r="K219" s="29">
        <v>45597</v>
      </c>
      <c r="L219" s="66"/>
      <c r="M219" s="68">
        <v>9.0499999999999997E-2</v>
      </c>
      <c r="N219" s="68">
        <v>0.10925</v>
      </c>
      <c r="O219" s="68">
        <v>1.8749999999999999E-2</v>
      </c>
      <c r="P219" s="68">
        <f t="shared" si="194"/>
        <v>0</v>
      </c>
      <c r="Q219" s="100">
        <v>1</v>
      </c>
      <c r="R219" s="104">
        <f t="shared" ref="R219:R291" si="195">Q219*M219</f>
        <v>9.0499999999999997E-2</v>
      </c>
      <c r="S219" s="73">
        <v>1449000</v>
      </c>
      <c r="T219" s="77">
        <f>S219+T220</f>
        <v>9373723</v>
      </c>
      <c r="U219" s="78">
        <v>755752.21238938102</v>
      </c>
      <c r="V219" s="78">
        <f t="shared" ref="V219:V233" si="196">U219-O219*T219</f>
        <v>579994.906139381</v>
      </c>
      <c r="W219" s="40" t="s">
        <v>78</v>
      </c>
      <c r="X219" s="148" t="s">
        <v>87</v>
      </c>
      <c r="Y219" s="79">
        <v>1</v>
      </c>
      <c r="Z219" s="79"/>
      <c r="AA219" s="79"/>
      <c r="AB219" s="80"/>
      <c r="AC219" s="78">
        <f t="shared" ref="AC219:AC228" si="197">N219*S219</f>
        <v>158303.25</v>
      </c>
      <c r="AD219" s="83"/>
      <c r="AE219" s="77">
        <f t="shared" ref="AE219:AE233" si="198">S219*Y219/1000</f>
        <v>1449</v>
      </c>
      <c r="AF219" s="85"/>
    </row>
    <row r="220" spans="2:32" s="43" customFormat="1" hidden="1">
      <c r="B220" s="17" t="s">
        <v>11</v>
      </c>
      <c r="C220" s="40" t="s">
        <v>16</v>
      </c>
      <c r="D220" s="40" t="s">
        <v>88</v>
      </c>
      <c r="E220" s="91" t="s">
        <v>104</v>
      </c>
      <c r="F220" s="40" t="s">
        <v>51</v>
      </c>
      <c r="G220" s="40"/>
      <c r="H220" s="40" t="s">
        <v>52</v>
      </c>
      <c r="I220" s="57">
        <v>2024</v>
      </c>
      <c r="J220" s="57">
        <v>7</v>
      </c>
      <c r="K220" s="29">
        <v>45597</v>
      </c>
      <c r="L220" s="66"/>
      <c r="M220" s="68">
        <v>9.0499999999999997E-2</v>
      </c>
      <c r="N220" s="68">
        <v>0.10925</v>
      </c>
      <c r="O220" s="68">
        <v>1.8749999999999999E-2</v>
      </c>
      <c r="P220" s="68">
        <f t="shared" si="194"/>
        <v>0</v>
      </c>
      <c r="Q220" s="100">
        <v>1</v>
      </c>
      <c r="R220" s="104">
        <f t="shared" si="195"/>
        <v>9.0499999999999997E-2</v>
      </c>
      <c r="S220" s="73">
        <v>1670776</v>
      </c>
      <c r="T220" s="77">
        <f t="shared" ref="T220:T227" si="199">S220+T221</f>
        <v>7924723</v>
      </c>
      <c r="U220" s="78">
        <v>755752.21238938102</v>
      </c>
      <c r="V220" s="78">
        <f t="shared" si="196"/>
        <v>607163.656139381</v>
      </c>
      <c r="W220" s="40" t="s">
        <v>78</v>
      </c>
      <c r="X220" s="148" t="s">
        <v>87</v>
      </c>
      <c r="Y220" s="79">
        <v>1</v>
      </c>
      <c r="Z220" s="79"/>
      <c r="AA220" s="79"/>
      <c r="AB220" s="80"/>
      <c r="AC220" s="78">
        <f t="shared" si="197"/>
        <v>182532.27799999999</v>
      </c>
      <c r="AD220" s="83"/>
      <c r="AE220" s="77">
        <f t="shared" si="198"/>
        <v>1670.7760000000001</v>
      </c>
      <c r="AF220" s="85"/>
    </row>
    <row r="221" spans="2:32" s="43" customFormat="1" hidden="1">
      <c r="B221" s="17" t="s">
        <v>11</v>
      </c>
      <c r="C221" s="40" t="s">
        <v>16</v>
      </c>
      <c r="D221" s="40" t="s">
        <v>88</v>
      </c>
      <c r="E221" s="91" t="s">
        <v>104</v>
      </c>
      <c r="F221" s="40" t="s">
        <v>51</v>
      </c>
      <c r="G221" s="40"/>
      <c r="H221" s="40" t="s">
        <v>52</v>
      </c>
      <c r="I221" s="57">
        <v>2024</v>
      </c>
      <c r="J221" s="57">
        <v>6</v>
      </c>
      <c r="K221" s="29">
        <v>45597</v>
      </c>
      <c r="L221" s="66"/>
      <c r="M221" s="68">
        <v>9.0499999999999997E-2</v>
      </c>
      <c r="N221" s="68">
        <v>0.10925</v>
      </c>
      <c r="O221" s="68">
        <v>1.8749999999999999E-2</v>
      </c>
      <c r="P221" s="68">
        <f t="shared" si="194"/>
        <v>0</v>
      </c>
      <c r="Q221" s="100">
        <v>1</v>
      </c>
      <c r="R221" s="104">
        <f t="shared" si="195"/>
        <v>9.0499999999999997E-2</v>
      </c>
      <c r="S221" s="73">
        <v>1246709</v>
      </c>
      <c r="T221" s="77">
        <f t="shared" si="199"/>
        <v>6253947</v>
      </c>
      <c r="U221" s="78">
        <v>755752.21238938102</v>
      </c>
      <c r="V221" s="78">
        <f t="shared" si="196"/>
        <v>638490.70613938104</v>
      </c>
      <c r="W221" s="40" t="s">
        <v>78</v>
      </c>
      <c r="X221" s="148" t="s">
        <v>87</v>
      </c>
      <c r="Y221" s="79">
        <v>1</v>
      </c>
      <c r="Z221" s="79"/>
      <c r="AA221" s="79"/>
      <c r="AB221" s="80"/>
      <c r="AC221" s="78">
        <f t="shared" si="197"/>
        <v>136202.95825</v>
      </c>
      <c r="AD221" s="83"/>
      <c r="AE221" s="77">
        <f t="shared" si="198"/>
        <v>1246.7090000000001</v>
      </c>
      <c r="AF221" s="85"/>
    </row>
    <row r="222" spans="2:32" s="43" customFormat="1" hidden="1">
      <c r="B222" s="17" t="s">
        <v>11</v>
      </c>
      <c r="C222" s="40" t="s">
        <v>16</v>
      </c>
      <c r="D222" s="40" t="s">
        <v>88</v>
      </c>
      <c r="E222" s="91" t="s">
        <v>104</v>
      </c>
      <c r="F222" s="40" t="s">
        <v>51</v>
      </c>
      <c r="G222" s="40"/>
      <c r="H222" s="40" t="s">
        <v>52</v>
      </c>
      <c r="I222" s="57">
        <v>2024</v>
      </c>
      <c r="J222" s="57">
        <v>5</v>
      </c>
      <c r="K222" s="29">
        <v>45597</v>
      </c>
      <c r="L222" s="66"/>
      <c r="M222" s="68">
        <v>9.0499999999999997E-2</v>
      </c>
      <c r="N222" s="68">
        <v>0.10925</v>
      </c>
      <c r="O222" s="68">
        <v>1.8749999999999999E-2</v>
      </c>
      <c r="P222" s="68">
        <f t="shared" si="194"/>
        <v>0</v>
      </c>
      <c r="Q222" s="100">
        <v>1</v>
      </c>
      <c r="R222" s="104">
        <f t="shared" si="195"/>
        <v>9.0499999999999997E-2</v>
      </c>
      <c r="S222" s="73">
        <v>1677000</v>
      </c>
      <c r="T222" s="77">
        <f t="shared" si="199"/>
        <v>5007238</v>
      </c>
      <c r="U222" s="78">
        <v>755752.21238938102</v>
      </c>
      <c r="V222" s="78">
        <f t="shared" si="196"/>
        <v>661866.499889381</v>
      </c>
      <c r="W222" s="40" t="s">
        <v>78</v>
      </c>
      <c r="X222" s="148" t="s">
        <v>87</v>
      </c>
      <c r="Y222" s="79">
        <v>1</v>
      </c>
      <c r="Z222" s="79"/>
      <c r="AA222" s="79"/>
      <c r="AB222" s="80"/>
      <c r="AC222" s="78">
        <f t="shared" si="197"/>
        <v>183212.25</v>
      </c>
      <c r="AD222" s="83"/>
      <c r="AE222" s="77">
        <f t="shared" si="198"/>
        <v>1677</v>
      </c>
      <c r="AF222" s="85"/>
    </row>
    <row r="223" spans="2:32" s="43" customFormat="1" hidden="1">
      <c r="B223" s="17" t="s">
        <v>11</v>
      </c>
      <c r="C223" s="40" t="s">
        <v>16</v>
      </c>
      <c r="D223" s="40" t="s">
        <v>88</v>
      </c>
      <c r="E223" s="91" t="s">
        <v>104</v>
      </c>
      <c r="F223" s="40" t="s">
        <v>51</v>
      </c>
      <c r="G223" s="40"/>
      <c r="H223" s="40" t="s">
        <v>52</v>
      </c>
      <c r="I223" s="57">
        <v>2024</v>
      </c>
      <c r="J223" s="57">
        <v>4</v>
      </c>
      <c r="K223" s="29">
        <v>45597</v>
      </c>
      <c r="L223" s="66"/>
      <c r="M223" s="68">
        <v>9.0499999999999997E-2</v>
      </c>
      <c r="N223" s="68">
        <v>0.10925</v>
      </c>
      <c r="O223" s="68">
        <v>1.8749999999999999E-2</v>
      </c>
      <c r="P223" s="68">
        <f t="shared" si="194"/>
        <v>0</v>
      </c>
      <c r="Q223" s="100">
        <v>1</v>
      </c>
      <c r="R223" s="104">
        <f t="shared" si="195"/>
        <v>9.0499999999999997E-2</v>
      </c>
      <c r="S223" s="73">
        <v>1643238</v>
      </c>
      <c r="T223" s="77">
        <f t="shared" si="199"/>
        <v>3330238</v>
      </c>
      <c r="U223" s="78">
        <v>755752.21238938102</v>
      </c>
      <c r="V223" s="78">
        <f t="shared" si="196"/>
        <v>693310.249889381</v>
      </c>
      <c r="W223" s="40" t="s">
        <v>78</v>
      </c>
      <c r="X223" s="148" t="s">
        <v>87</v>
      </c>
      <c r="Y223" s="79">
        <v>1</v>
      </c>
      <c r="Z223" s="79"/>
      <c r="AA223" s="79"/>
      <c r="AB223" s="80"/>
      <c r="AC223" s="78">
        <f t="shared" si="197"/>
        <v>179523.75150000001</v>
      </c>
      <c r="AD223" s="83"/>
      <c r="AE223" s="77">
        <f t="shared" si="198"/>
        <v>1643.2380000000001</v>
      </c>
      <c r="AF223" s="85"/>
    </row>
    <row r="224" spans="2:32" s="43" customFormat="1" hidden="1">
      <c r="B224" s="17" t="s">
        <v>11</v>
      </c>
      <c r="C224" s="40" t="s">
        <v>16</v>
      </c>
      <c r="D224" s="40" t="s">
        <v>88</v>
      </c>
      <c r="E224" s="91" t="s">
        <v>104</v>
      </c>
      <c r="F224" s="40" t="s">
        <v>51</v>
      </c>
      <c r="G224" s="40"/>
      <c r="H224" s="40" t="s">
        <v>52</v>
      </c>
      <c r="I224" s="57">
        <v>2024</v>
      </c>
      <c r="J224" s="57">
        <v>3</v>
      </c>
      <c r="K224" s="29">
        <v>45597</v>
      </c>
      <c r="L224" s="66"/>
      <c r="M224" s="68">
        <v>9.0499999999999997E-2</v>
      </c>
      <c r="N224" s="68">
        <v>0.10925</v>
      </c>
      <c r="O224" s="68">
        <v>1.8749999999999999E-2</v>
      </c>
      <c r="P224" s="68">
        <f t="shared" si="194"/>
        <v>0</v>
      </c>
      <c r="Q224" s="100">
        <v>1</v>
      </c>
      <c r="R224" s="104">
        <f t="shared" si="195"/>
        <v>9.0499999999999997E-2</v>
      </c>
      <c r="S224" s="73">
        <v>1561750</v>
      </c>
      <c r="T224" s="77">
        <f t="shared" si="199"/>
        <v>1687000</v>
      </c>
      <c r="U224" s="78">
        <v>755752.21238938102</v>
      </c>
      <c r="V224" s="78">
        <f t="shared" si="196"/>
        <v>724120.96238938102</v>
      </c>
      <c r="W224" s="40" t="s">
        <v>78</v>
      </c>
      <c r="X224" s="148" t="s">
        <v>87</v>
      </c>
      <c r="Y224" s="79">
        <v>1</v>
      </c>
      <c r="Z224" s="79"/>
      <c r="AA224" s="79"/>
      <c r="AB224" s="80"/>
      <c r="AC224" s="78">
        <f t="shared" si="197"/>
        <v>170621.1875</v>
      </c>
      <c r="AD224" s="83"/>
      <c r="AE224" s="77">
        <f t="shared" si="198"/>
        <v>1561.75</v>
      </c>
      <c r="AF224" s="85"/>
    </row>
    <row r="225" spans="2:32" s="43" customFormat="1" hidden="1">
      <c r="B225" s="17" t="s">
        <v>11</v>
      </c>
      <c r="C225" s="40" t="s">
        <v>16</v>
      </c>
      <c r="D225" s="40" t="s">
        <v>88</v>
      </c>
      <c r="E225" s="91" t="s">
        <v>104</v>
      </c>
      <c r="F225" s="40" t="s">
        <v>51</v>
      </c>
      <c r="G225" s="40"/>
      <c r="H225" s="40" t="s">
        <v>52</v>
      </c>
      <c r="I225" s="57">
        <v>2024</v>
      </c>
      <c r="J225" s="57">
        <v>2</v>
      </c>
      <c r="K225" s="29">
        <v>45597</v>
      </c>
      <c r="L225" s="66"/>
      <c r="M225" s="68">
        <v>9.0499999999999997E-2</v>
      </c>
      <c r="N225" s="68">
        <v>0.10925</v>
      </c>
      <c r="O225" s="68">
        <v>1.8749999999999999E-2</v>
      </c>
      <c r="P225" s="68">
        <f t="shared" si="194"/>
        <v>0</v>
      </c>
      <c r="Q225" s="100">
        <v>1</v>
      </c>
      <c r="R225" s="104">
        <f t="shared" si="195"/>
        <v>9.0499999999999997E-2</v>
      </c>
      <c r="S225" s="73">
        <v>12250</v>
      </c>
      <c r="T225" s="77">
        <f t="shared" si="199"/>
        <v>125250</v>
      </c>
      <c r="U225" s="78">
        <v>755752.21238938102</v>
      </c>
      <c r="V225" s="78">
        <f t="shared" si="196"/>
        <v>753403.77488938102</v>
      </c>
      <c r="W225" s="40" t="s">
        <v>78</v>
      </c>
      <c r="X225" s="148" t="s">
        <v>87</v>
      </c>
      <c r="Y225" s="79">
        <v>1</v>
      </c>
      <c r="Z225" s="79"/>
      <c r="AA225" s="79"/>
      <c r="AB225" s="80"/>
      <c r="AC225" s="78">
        <f t="shared" si="197"/>
        <v>1338.3125</v>
      </c>
      <c r="AD225" s="83"/>
      <c r="AE225" s="77">
        <f t="shared" si="198"/>
        <v>12.25</v>
      </c>
      <c r="AF225" s="85"/>
    </row>
    <row r="226" spans="2:32" s="43" customFormat="1" hidden="1">
      <c r="B226" s="17" t="s">
        <v>11</v>
      </c>
      <c r="C226" s="40" t="s">
        <v>16</v>
      </c>
      <c r="D226" s="40" t="s">
        <v>88</v>
      </c>
      <c r="E226" s="91" t="s">
        <v>104</v>
      </c>
      <c r="F226" s="40" t="s">
        <v>51</v>
      </c>
      <c r="G226" s="40"/>
      <c r="H226" s="40" t="s">
        <v>52</v>
      </c>
      <c r="I226" s="57">
        <v>2024</v>
      </c>
      <c r="J226" s="57">
        <v>1</v>
      </c>
      <c r="K226" s="29">
        <v>45597</v>
      </c>
      <c r="L226" s="66"/>
      <c r="M226" s="68">
        <v>9.0499999999999997E-2</v>
      </c>
      <c r="N226" s="68">
        <v>0.10925</v>
      </c>
      <c r="O226" s="68">
        <v>1.8749999999999999E-2</v>
      </c>
      <c r="P226" s="68">
        <f t="shared" si="194"/>
        <v>0</v>
      </c>
      <c r="Q226" s="100">
        <v>1</v>
      </c>
      <c r="R226" s="104">
        <f t="shared" si="195"/>
        <v>9.0499999999999997E-2</v>
      </c>
      <c r="S226" s="73">
        <v>40000</v>
      </c>
      <c r="T226" s="77">
        <f t="shared" si="199"/>
        <v>113000</v>
      </c>
      <c r="U226" s="78">
        <v>755752.21238938102</v>
      </c>
      <c r="V226" s="78">
        <f t="shared" si="196"/>
        <v>753633.46238938102</v>
      </c>
      <c r="W226" s="40" t="s">
        <v>78</v>
      </c>
      <c r="X226" s="148" t="s">
        <v>87</v>
      </c>
      <c r="Y226" s="79">
        <v>1</v>
      </c>
      <c r="Z226" s="79"/>
      <c r="AA226" s="79"/>
      <c r="AB226" s="80"/>
      <c r="AC226" s="78">
        <f t="shared" si="197"/>
        <v>4370</v>
      </c>
      <c r="AD226" s="83"/>
      <c r="AE226" s="77">
        <f t="shared" si="198"/>
        <v>40</v>
      </c>
      <c r="AF226" s="85"/>
    </row>
    <row r="227" spans="2:32" s="43" customFormat="1" hidden="1">
      <c r="B227" s="17" t="s">
        <v>11</v>
      </c>
      <c r="C227" s="40" t="s">
        <v>16</v>
      </c>
      <c r="D227" s="40" t="s">
        <v>88</v>
      </c>
      <c r="E227" s="91" t="s">
        <v>104</v>
      </c>
      <c r="F227" s="40" t="s">
        <v>51</v>
      </c>
      <c r="G227" s="40"/>
      <c r="H227" s="40" t="s">
        <v>52</v>
      </c>
      <c r="I227" s="57">
        <v>2023</v>
      </c>
      <c r="J227" s="57">
        <v>12</v>
      </c>
      <c r="K227" s="29">
        <v>45597</v>
      </c>
      <c r="L227" s="66"/>
      <c r="M227" s="68">
        <v>9.0499999999999997E-2</v>
      </c>
      <c r="N227" s="68">
        <v>0.10925</v>
      </c>
      <c r="O227" s="68">
        <v>1.8749999999999999E-2</v>
      </c>
      <c r="P227" s="68">
        <f t="shared" si="194"/>
        <v>0</v>
      </c>
      <c r="Q227" s="100">
        <v>1</v>
      </c>
      <c r="R227" s="104">
        <f t="shared" si="195"/>
        <v>9.0499999999999997E-2</v>
      </c>
      <c r="S227" s="73">
        <v>35000</v>
      </c>
      <c r="T227" s="77">
        <f t="shared" si="199"/>
        <v>73000</v>
      </c>
      <c r="U227" s="78">
        <v>755752.21238938102</v>
      </c>
      <c r="V227" s="78">
        <f t="shared" si="196"/>
        <v>754383.46238938102</v>
      </c>
      <c r="W227" s="40" t="s">
        <v>78</v>
      </c>
      <c r="X227" s="148" t="s">
        <v>87</v>
      </c>
      <c r="Y227" s="79">
        <v>1</v>
      </c>
      <c r="Z227" s="79"/>
      <c r="AA227" s="79"/>
      <c r="AB227" s="80"/>
      <c r="AC227" s="78">
        <f t="shared" si="197"/>
        <v>3823.75</v>
      </c>
      <c r="AD227" s="83"/>
      <c r="AE227" s="77">
        <f t="shared" si="198"/>
        <v>35</v>
      </c>
      <c r="AF227" s="85"/>
    </row>
    <row r="228" spans="2:32" s="43" customFormat="1" hidden="1">
      <c r="B228" s="17" t="s">
        <v>11</v>
      </c>
      <c r="C228" s="40" t="s">
        <v>16</v>
      </c>
      <c r="D228" s="40" t="s">
        <v>88</v>
      </c>
      <c r="E228" s="91" t="s">
        <v>104</v>
      </c>
      <c r="F228" s="40" t="s">
        <v>51</v>
      </c>
      <c r="G228" s="40"/>
      <c r="H228" s="40" t="s">
        <v>52</v>
      </c>
      <c r="I228" s="57">
        <v>2023</v>
      </c>
      <c r="J228" s="57">
        <v>11</v>
      </c>
      <c r="K228" s="29">
        <v>45597</v>
      </c>
      <c r="L228" s="66"/>
      <c r="M228" s="68">
        <v>9.0499999999999997E-2</v>
      </c>
      <c r="N228" s="68">
        <v>0.10925</v>
      </c>
      <c r="O228" s="68">
        <v>1.8749999999999999E-2</v>
      </c>
      <c r="P228" s="68">
        <f t="shared" si="194"/>
        <v>0</v>
      </c>
      <c r="Q228" s="100">
        <v>1</v>
      </c>
      <c r="R228" s="104">
        <f t="shared" si="195"/>
        <v>9.0499999999999997E-2</v>
      </c>
      <c r="S228" s="73">
        <v>38000</v>
      </c>
      <c r="T228" s="77">
        <f>S228</f>
        <v>38000</v>
      </c>
      <c r="U228" s="78">
        <v>755752.21238938102</v>
      </c>
      <c r="V228" s="78">
        <f t="shared" si="196"/>
        <v>755039.71238938102</v>
      </c>
      <c r="W228" s="40" t="s">
        <v>78</v>
      </c>
      <c r="X228" s="148" t="s">
        <v>87</v>
      </c>
      <c r="Y228" s="79">
        <v>1</v>
      </c>
      <c r="Z228" s="79"/>
      <c r="AA228" s="79"/>
      <c r="AB228" s="80"/>
      <c r="AC228" s="78">
        <f t="shared" si="197"/>
        <v>4151.5</v>
      </c>
      <c r="AD228" s="83"/>
      <c r="AE228" s="77">
        <f t="shared" si="198"/>
        <v>38</v>
      </c>
      <c r="AF228" s="85"/>
    </row>
    <row r="229" spans="2:32" s="43" customFormat="1">
      <c r="B229" s="17" t="s">
        <v>9</v>
      </c>
      <c r="C229" s="40" t="s">
        <v>16</v>
      </c>
      <c r="D229" s="40" t="s">
        <v>106</v>
      </c>
      <c r="E229" s="91" t="s">
        <v>107</v>
      </c>
      <c r="F229" s="40" t="s">
        <v>51</v>
      </c>
      <c r="G229" s="40"/>
      <c r="H229" s="40" t="s">
        <v>52</v>
      </c>
      <c r="I229" s="57">
        <v>2025</v>
      </c>
      <c r="J229" s="57">
        <v>2</v>
      </c>
      <c r="K229" s="29">
        <v>45722</v>
      </c>
      <c r="L229" s="66"/>
      <c r="M229" s="68">
        <f t="shared" ref="M229" si="200">0.56887+AB229</f>
        <v>2.85337</v>
      </c>
      <c r="N229" s="68">
        <f t="shared" ref="N229" si="201">M229+O229</f>
        <v>2.8874949999999999</v>
      </c>
      <c r="O229" s="68">
        <v>3.4125000000000003E-2</v>
      </c>
      <c r="P229" s="68"/>
      <c r="Q229" s="100">
        <v>1</v>
      </c>
      <c r="R229" s="104">
        <f t="shared" ref="R229" si="202">Q229*M229</f>
        <v>2.85337</v>
      </c>
      <c r="S229" s="73">
        <v>0</v>
      </c>
      <c r="T229" s="144">
        <f>S229+T230</f>
        <v>6045194</v>
      </c>
      <c r="U229" s="136">
        <v>1092000</v>
      </c>
      <c r="V229" s="136">
        <f t="shared" si="196"/>
        <v>885707.75474999996</v>
      </c>
      <c r="W229" s="40" t="s">
        <v>70</v>
      </c>
      <c r="X229" s="129" t="s">
        <v>108</v>
      </c>
      <c r="Y229" s="79">
        <v>8.15</v>
      </c>
      <c r="Z229" s="79"/>
      <c r="AA229" s="79" t="s">
        <v>109</v>
      </c>
      <c r="AB229" s="80">
        <v>2.2845</v>
      </c>
      <c r="AC229" s="78">
        <f t="shared" ref="AC229:AC234" si="203">N229*S229</f>
        <v>0</v>
      </c>
      <c r="AD229" s="83">
        <f>AB229*S229</f>
        <v>0</v>
      </c>
      <c r="AE229" s="77">
        <f t="shared" si="198"/>
        <v>0</v>
      </c>
      <c r="AF229" s="85"/>
    </row>
    <row r="230" spans="2:32" s="43" customFormat="1" hidden="1">
      <c r="B230" s="17" t="s">
        <v>9</v>
      </c>
      <c r="C230" s="40" t="s">
        <v>16</v>
      </c>
      <c r="D230" s="40" t="s">
        <v>106</v>
      </c>
      <c r="E230" s="91" t="s">
        <v>107</v>
      </c>
      <c r="F230" s="40" t="s">
        <v>51</v>
      </c>
      <c r="G230" s="40"/>
      <c r="H230" s="40" t="s">
        <v>52</v>
      </c>
      <c r="I230" s="57">
        <v>2025</v>
      </c>
      <c r="J230" s="57">
        <v>1</v>
      </c>
      <c r="K230" s="29">
        <v>45705</v>
      </c>
      <c r="L230" s="66"/>
      <c r="M230" s="68">
        <f t="shared" ref="M230" si="204">0.56887+AB230</f>
        <v>2.85337</v>
      </c>
      <c r="N230" s="68">
        <f t="shared" ref="N230" si="205">M230+O230</f>
        <v>2.8874949999999999</v>
      </c>
      <c r="O230" s="68">
        <v>3.4125000000000003E-2</v>
      </c>
      <c r="P230" s="68"/>
      <c r="Q230" s="100">
        <v>1</v>
      </c>
      <c r="R230" s="104">
        <f t="shared" si="195"/>
        <v>2.85337</v>
      </c>
      <c r="S230" s="73">
        <v>0</v>
      </c>
      <c r="T230" s="77">
        <f>S230+T231</f>
        <v>6045194</v>
      </c>
      <c r="U230" s="78">
        <v>1092000</v>
      </c>
      <c r="V230" s="78">
        <f t="shared" ref="V230" si="206">U230-O230*T230</f>
        <v>885707.75474999996</v>
      </c>
      <c r="W230" s="40" t="s">
        <v>70</v>
      </c>
      <c r="X230" s="129" t="s">
        <v>108</v>
      </c>
      <c r="Y230" s="79">
        <v>8.15</v>
      </c>
      <c r="Z230" s="79"/>
      <c r="AA230" s="79" t="s">
        <v>109</v>
      </c>
      <c r="AB230" s="80">
        <v>2.2845</v>
      </c>
      <c r="AC230" s="78">
        <f t="shared" si="203"/>
        <v>0</v>
      </c>
      <c r="AD230" s="83">
        <f>AB230*S230</f>
        <v>0</v>
      </c>
      <c r="AE230" s="77">
        <f t="shared" ref="AE230" si="207">S230*Y230/1000</f>
        <v>0</v>
      </c>
      <c r="AF230" s="85"/>
    </row>
    <row r="231" spans="2:32" s="43" customFormat="1" hidden="1">
      <c r="B231" s="17" t="s">
        <v>9</v>
      </c>
      <c r="C231" s="40" t="s">
        <v>16</v>
      </c>
      <c r="D231" s="40" t="s">
        <v>106</v>
      </c>
      <c r="E231" s="91" t="s">
        <v>107</v>
      </c>
      <c r="F231" s="40" t="s">
        <v>51</v>
      </c>
      <c r="G231" s="40"/>
      <c r="H231" s="40" t="s">
        <v>52</v>
      </c>
      <c r="I231" s="57">
        <v>2024</v>
      </c>
      <c r="J231" s="57">
        <v>12</v>
      </c>
      <c r="K231" s="29">
        <v>45665</v>
      </c>
      <c r="L231" s="66"/>
      <c r="M231" s="68">
        <f t="shared" ref="M231" si="208">0.56887+AB231</f>
        <v>2.85337</v>
      </c>
      <c r="N231" s="68">
        <f t="shared" ref="N231" si="209">M231+O231</f>
        <v>2.8874949999999999</v>
      </c>
      <c r="O231" s="68">
        <v>3.4125000000000003E-2</v>
      </c>
      <c r="P231" s="68"/>
      <c r="Q231" s="100">
        <v>1</v>
      </c>
      <c r="R231" s="104">
        <f t="shared" ref="R231" si="210">Q231*M231</f>
        <v>2.85337</v>
      </c>
      <c r="S231" s="73">
        <v>121620</v>
      </c>
      <c r="T231" s="77">
        <f>S231+T232</f>
        <v>6045194</v>
      </c>
      <c r="U231" s="78">
        <v>1092000</v>
      </c>
      <c r="V231" s="78">
        <f t="shared" si="196"/>
        <v>885707.75474999996</v>
      </c>
      <c r="W231" s="40" t="s">
        <v>70</v>
      </c>
      <c r="X231" s="129" t="s">
        <v>108</v>
      </c>
      <c r="Y231" s="79">
        <v>8.15</v>
      </c>
      <c r="Z231" s="79"/>
      <c r="AA231" s="79" t="s">
        <v>109</v>
      </c>
      <c r="AB231" s="80">
        <v>2.2845</v>
      </c>
      <c r="AC231" s="78">
        <f t="shared" si="203"/>
        <v>351177.14189999999</v>
      </c>
      <c r="AD231" s="83">
        <f>AB231*S231</f>
        <v>277840.89</v>
      </c>
      <c r="AE231" s="77">
        <f t="shared" si="198"/>
        <v>991.20299999999997</v>
      </c>
      <c r="AF231" s="85"/>
    </row>
    <row r="232" spans="2:32" s="43" customFormat="1" hidden="1">
      <c r="B232" s="17" t="s">
        <v>9</v>
      </c>
      <c r="C232" s="40" t="s">
        <v>16</v>
      </c>
      <c r="D232" s="40" t="s">
        <v>106</v>
      </c>
      <c r="E232" s="91" t="s">
        <v>107</v>
      </c>
      <c r="F232" s="40" t="s">
        <v>51</v>
      </c>
      <c r="G232" s="40"/>
      <c r="H232" s="40" t="s">
        <v>52</v>
      </c>
      <c r="I232" s="57">
        <v>2024</v>
      </c>
      <c r="J232" s="57">
        <v>11</v>
      </c>
      <c r="K232" s="29">
        <v>45629</v>
      </c>
      <c r="L232" s="66"/>
      <c r="M232" s="68">
        <f t="shared" ref="M232" si="211">0.56887+AB232</f>
        <v>2.85337</v>
      </c>
      <c r="N232" s="68">
        <f t="shared" ref="N232" si="212">M232+O232</f>
        <v>2.8874949999999999</v>
      </c>
      <c r="O232" s="68">
        <v>3.4125000000000003E-2</v>
      </c>
      <c r="P232" s="68"/>
      <c r="Q232" s="100">
        <v>1</v>
      </c>
      <c r="R232" s="104">
        <f t="shared" si="195"/>
        <v>2.85337</v>
      </c>
      <c r="S232" s="73">
        <v>0</v>
      </c>
      <c r="T232" s="77">
        <f>S232+T233</f>
        <v>5923574</v>
      </c>
      <c r="U232" s="78">
        <v>1092000</v>
      </c>
      <c r="V232" s="78">
        <f t="shared" ref="V232" si="213">U232-O232*T232</f>
        <v>889858.03725000005</v>
      </c>
      <c r="W232" s="40" t="s">
        <v>70</v>
      </c>
      <c r="X232" s="129" t="s">
        <v>108</v>
      </c>
      <c r="Y232" s="79">
        <v>8.15</v>
      </c>
      <c r="Z232" s="79"/>
      <c r="AA232" s="79" t="s">
        <v>109</v>
      </c>
      <c r="AB232" s="80">
        <v>2.2845</v>
      </c>
      <c r="AC232" s="78">
        <f t="shared" si="203"/>
        <v>0</v>
      </c>
      <c r="AD232" s="83">
        <f>AB232*S232</f>
        <v>0</v>
      </c>
      <c r="AE232" s="77">
        <f t="shared" ref="AE232" si="214">S232*Y232/1000</f>
        <v>0</v>
      </c>
      <c r="AF232" s="85"/>
    </row>
    <row r="233" spans="2:32" s="43" customFormat="1" hidden="1">
      <c r="B233" s="17" t="s">
        <v>9</v>
      </c>
      <c r="C233" s="40" t="s">
        <v>16</v>
      </c>
      <c r="D233" s="40" t="s">
        <v>106</v>
      </c>
      <c r="E233" s="91" t="s">
        <v>107</v>
      </c>
      <c r="F233" s="40" t="s">
        <v>51</v>
      </c>
      <c r="G233" s="40"/>
      <c r="H233" s="40" t="s">
        <v>52</v>
      </c>
      <c r="I233" s="57">
        <v>2024</v>
      </c>
      <c r="J233" s="57">
        <v>10</v>
      </c>
      <c r="K233" s="29">
        <v>45601</v>
      </c>
      <c r="L233" s="66"/>
      <c r="M233" s="68">
        <f t="shared" ref="M233:M279" si="215">0.56887+AB233</f>
        <v>2.85337</v>
      </c>
      <c r="N233" s="68">
        <f t="shared" ref="N233:N246" si="216">M233+O233</f>
        <v>2.8874949999999999</v>
      </c>
      <c r="O233" s="68">
        <v>3.4125000000000003E-2</v>
      </c>
      <c r="P233" s="68"/>
      <c r="Q233" s="100">
        <v>1</v>
      </c>
      <c r="R233" s="104">
        <f t="shared" si="195"/>
        <v>2.85337</v>
      </c>
      <c r="S233" s="73">
        <v>14319</v>
      </c>
      <c r="T233" s="77">
        <f>S233+T234</f>
        <v>5923574</v>
      </c>
      <c r="U233" s="78">
        <v>1092000</v>
      </c>
      <c r="V233" s="78">
        <f t="shared" si="196"/>
        <v>889858.03725000005</v>
      </c>
      <c r="W233" s="40" t="s">
        <v>70</v>
      </c>
      <c r="X233" s="129" t="s">
        <v>108</v>
      </c>
      <c r="Y233" s="79">
        <v>8.15</v>
      </c>
      <c r="Z233" s="79"/>
      <c r="AA233" s="79" t="s">
        <v>109</v>
      </c>
      <c r="AB233" s="80">
        <v>2.2845</v>
      </c>
      <c r="AC233" s="78">
        <f t="shared" si="203"/>
        <v>41346.040905000002</v>
      </c>
      <c r="AD233" s="83">
        <f>AB233*S233</f>
        <v>32711.755499999999</v>
      </c>
      <c r="AE233" s="77">
        <f t="shared" si="198"/>
        <v>116.69985000000001</v>
      </c>
      <c r="AF233" s="85"/>
    </row>
    <row r="234" spans="2:32" s="43" customFormat="1" hidden="1">
      <c r="B234" s="17" t="s">
        <v>9</v>
      </c>
      <c r="C234" s="40" t="str">
        <f>VLOOKUP(B234,[1]Sheet1!$A:$B,2,0)</f>
        <v>MODI</v>
      </c>
      <c r="D234" s="40" t="s">
        <v>106</v>
      </c>
      <c r="E234" s="91" t="s">
        <v>107</v>
      </c>
      <c r="F234" s="40" t="s">
        <v>51</v>
      </c>
      <c r="G234" s="40"/>
      <c r="H234" s="40" t="s">
        <v>52</v>
      </c>
      <c r="I234" s="57">
        <v>2024</v>
      </c>
      <c r="J234" s="57">
        <v>9</v>
      </c>
      <c r="K234" s="29">
        <v>45597</v>
      </c>
      <c r="L234" s="66"/>
      <c r="M234" s="68">
        <f t="shared" si="215"/>
        <v>2.85337</v>
      </c>
      <c r="N234" s="68">
        <f t="shared" si="216"/>
        <v>2.8874949999999999</v>
      </c>
      <c r="O234" s="68">
        <v>3.4125000000000003E-2</v>
      </c>
      <c r="P234" s="68">
        <f t="shared" ref="P234:P254" si="217">L234*O234</f>
        <v>0</v>
      </c>
      <c r="Q234" s="100">
        <v>1</v>
      </c>
      <c r="R234" s="104">
        <f t="shared" si="195"/>
        <v>2.85337</v>
      </c>
      <c r="S234" s="73">
        <v>63741</v>
      </c>
      <c r="T234" s="77">
        <f t="shared" ref="T234:T253" si="218">S234+T235</f>
        <v>5909255</v>
      </c>
      <c r="U234" s="78">
        <v>1092000</v>
      </c>
      <c r="V234" s="78">
        <f>U234-O234*T234</f>
        <v>890346.67312499997</v>
      </c>
      <c r="W234" s="40" t="s">
        <v>70</v>
      </c>
      <c r="X234" s="129" t="s">
        <v>108</v>
      </c>
      <c r="Y234" s="79">
        <v>8.15</v>
      </c>
      <c r="Z234" s="79"/>
      <c r="AA234" s="79" t="s">
        <v>109</v>
      </c>
      <c r="AB234" s="80">
        <v>2.2845</v>
      </c>
      <c r="AC234" s="78">
        <f t="shared" si="203"/>
        <v>184051.818795</v>
      </c>
      <c r="AD234" s="83">
        <f t="shared" ref="AD234:AD279" si="219">AB234*S234</f>
        <v>145616.31450000001</v>
      </c>
      <c r="AE234" s="77">
        <f>S234*Y234/1000</f>
        <v>519.48915</v>
      </c>
      <c r="AF234" s="84"/>
    </row>
    <row r="235" spans="2:32" s="43" customFormat="1" hidden="1">
      <c r="B235" s="17" t="s">
        <v>9</v>
      </c>
      <c r="C235" s="40" t="s">
        <v>16</v>
      </c>
      <c r="D235" s="40" t="s">
        <v>106</v>
      </c>
      <c r="E235" s="91" t="s">
        <v>107</v>
      </c>
      <c r="F235" s="40" t="s">
        <v>51</v>
      </c>
      <c r="G235" s="40"/>
      <c r="H235" s="40" t="s">
        <v>52</v>
      </c>
      <c r="I235" s="57">
        <v>2024</v>
      </c>
      <c r="J235" s="57">
        <v>8</v>
      </c>
      <c r="K235" s="29">
        <v>45597</v>
      </c>
      <c r="L235" s="66"/>
      <c r="M235" s="68">
        <f t="shared" si="215"/>
        <v>2.85337</v>
      </c>
      <c r="N235" s="68">
        <f t="shared" si="216"/>
        <v>2.8874949999999999</v>
      </c>
      <c r="O235" s="68">
        <v>3.4125000000000003E-2</v>
      </c>
      <c r="P235" s="68">
        <f t="shared" si="217"/>
        <v>0</v>
      </c>
      <c r="Q235" s="100">
        <v>1</v>
      </c>
      <c r="R235" s="104">
        <f t="shared" si="195"/>
        <v>2.85337</v>
      </c>
      <c r="S235" s="73">
        <v>208758</v>
      </c>
      <c r="T235" s="77">
        <f t="shared" si="218"/>
        <v>5845514</v>
      </c>
      <c r="U235" s="78">
        <v>1092000</v>
      </c>
      <c r="V235" s="78">
        <f t="shared" ref="V235:V259" si="220">U235-O235*T235</f>
        <v>892521.83474999992</v>
      </c>
      <c r="W235" s="40" t="s">
        <v>70</v>
      </c>
      <c r="X235" s="129" t="s">
        <v>108</v>
      </c>
      <c r="Y235" s="79">
        <v>8.15</v>
      </c>
      <c r="Z235" s="79"/>
      <c r="AA235" s="79" t="s">
        <v>109</v>
      </c>
      <c r="AB235" s="80">
        <v>2.2845</v>
      </c>
      <c r="AC235" s="78">
        <f t="shared" ref="AC235:AC259" si="221">N235*S235</f>
        <v>602787.68120999995</v>
      </c>
      <c r="AD235" s="83">
        <f t="shared" si="219"/>
        <v>476907.65100000001</v>
      </c>
      <c r="AE235" s="77">
        <f t="shared" ref="AE235:AE259" si="222">S235*Y235/1000</f>
        <v>1701.3777000000002</v>
      </c>
      <c r="AF235" s="84"/>
    </row>
    <row r="236" spans="2:32" s="43" customFormat="1" hidden="1">
      <c r="B236" s="17" t="s">
        <v>9</v>
      </c>
      <c r="C236" s="40" t="s">
        <v>16</v>
      </c>
      <c r="D236" s="40" t="s">
        <v>106</v>
      </c>
      <c r="E236" s="91" t="s">
        <v>107</v>
      </c>
      <c r="F236" s="40" t="s">
        <v>51</v>
      </c>
      <c r="G236" s="40"/>
      <c r="H236" s="40" t="s">
        <v>52</v>
      </c>
      <c r="I236" s="57">
        <v>2024</v>
      </c>
      <c r="J236" s="57">
        <v>7</v>
      </c>
      <c r="K236" s="29">
        <v>45597</v>
      </c>
      <c r="L236" s="66"/>
      <c r="M236" s="68">
        <f t="shared" si="215"/>
        <v>2.85337</v>
      </c>
      <c r="N236" s="68">
        <f t="shared" si="216"/>
        <v>2.8874949999999999</v>
      </c>
      <c r="O236" s="68">
        <v>3.4125000000000003E-2</v>
      </c>
      <c r="P236" s="68">
        <f t="shared" si="217"/>
        <v>0</v>
      </c>
      <c r="Q236" s="100">
        <v>1</v>
      </c>
      <c r="R236" s="104">
        <f t="shared" si="195"/>
        <v>2.85337</v>
      </c>
      <c r="S236" s="73">
        <v>300</v>
      </c>
      <c r="T236" s="77">
        <f t="shared" si="218"/>
        <v>5636756</v>
      </c>
      <c r="U236" s="78">
        <v>1092000</v>
      </c>
      <c r="V236" s="78">
        <f t="shared" si="220"/>
        <v>899645.70149999997</v>
      </c>
      <c r="W236" s="40" t="s">
        <v>70</v>
      </c>
      <c r="X236" s="129" t="s">
        <v>108</v>
      </c>
      <c r="Y236" s="79">
        <v>8.15</v>
      </c>
      <c r="Z236" s="79"/>
      <c r="AA236" s="79" t="s">
        <v>109</v>
      </c>
      <c r="AB236" s="80">
        <v>2.2845</v>
      </c>
      <c r="AC236" s="78">
        <f t="shared" si="221"/>
        <v>866.24849999999992</v>
      </c>
      <c r="AD236" s="83">
        <f t="shared" si="219"/>
        <v>685.35</v>
      </c>
      <c r="AE236" s="77">
        <f t="shared" si="222"/>
        <v>2.4449999999999998</v>
      </c>
      <c r="AF236" s="84"/>
    </row>
    <row r="237" spans="2:32" s="43" customFormat="1" hidden="1">
      <c r="B237" s="17" t="s">
        <v>9</v>
      </c>
      <c r="C237" s="40" t="s">
        <v>16</v>
      </c>
      <c r="D237" s="40" t="s">
        <v>106</v>
      </c>
      <c r="E237" s="91" t="s">
        <v>107</v>
      </c>
      <c r="F237" s="40" t="s">
        <v>51</v>
      </c>
      <c r="G237" s="40"/>
      <c r="H237" s="40" t="s">
        <v>52</v>
      </c>
      <c r="I237" s="57">
        <v>2024</v>
      </c>
      <c r="J237" s="57">
        <v>6</v>
      </c>
      <c r="K237" s="29">
        <v>45597</v>
      </c>
      <c r="L237" s="66"/>
      <c r="M237" s="68">
        <f t="shared" si="215"/>
        <v>2.85337</v>
      </c>
      <c r="N237" s="68">
        <f t="shared" si="216"/>
        <v>2.8874949999999999</v>
      </c>
      <c r="O237" s="68">
        <v>3.4125000000000003E-2</v>
      </c>
      <c r="P237" s="68">
        <f t="shared" si="217"/>
        <v>0</v>
      </c>
      <c r="Q237" s="100">
        <v>1</v>
      </c>
      <c r="R237" s="104">
        <f t="shared" si="195"/>
        <v>2.85337</v>
      </c>
      <c r="S237" s="73">
        <v>56104</v>
      </c>
      <c r="T237" s="77">
        <f t="shared" si="218"/>
        <v>5636456</v>
      </c>
      <c r="U237" s="78">
        <v>1092000</v>
      </c>
      <c r="V237" s="78">
        <f t="shared" si="220"/>
        <v>899655.93900000001</v>
      </c>
      <c r="W237" s="40" t="s">
        <v>70</v>
      </c>
      <c r="X237" s="129" t="s">
        <v>108</v>
      </c>
      <c r="Y237" s="79">
        <v>8.15</v>
      </c>
      <c r="Z237" s="79"/>
      <c r="AA237" s="79" t="s">
        <v>109</v>
      </c>
      <c r="AB237" s="80">
        <v>2.2845</v>
      </c>
      <c r="AC237" s="78">
        <f t="shared" si="221"/>
        <v>162000.01947999999</v>
      </c>
      <c r="AD237" s="83">
        <f t="shared" si="219"/>
        <v>128169.588</v>
      </c>
      <c r="AE237" s="77">
        <f t="shared" si="222"/>
        <v>457.24760000000003</v>
      </c>
      <c r="AF237" s="84"/>
    </row>
    <row r="238" spans="2:32" s="43" customFormat="1" hidden="1">
      <c r="B238" s="17" t="s">
        <v>9</v>
      </c>
      <c r="C238" s="40" t="s">
        <v>16</v>
      </c>
      <c r="D238" s="40" t="s">
        <v>106</v>
      </c>
      <c r="E238" s="91" t="s">
        <v>107</v>
      </c>
      <c r="F238" s="40" t="s">
        <v>51</v>
      </c>
      <c r="G238" s="40"/>
      <c r="H238" s="40" t="s">
        <v>52</v>
      </c>
      <c r="I238" s="57">
        <v>2024</v>
      </c>
      <c r="J238" s="57">
        <v>5</v>
      </c>
      <c r="K238" s="29">
        <v>45597</v>
      </c>
      <c r="L238" s="66"/>
      <c r="M238" s="68">
        <f t="shared" si="215"/>
        <v>2.85337</v>
      </c>
      <c r="N238" s="68">
        <f t="shared" si="216"/>
        <v>2.8874949999999999</v>
      </c>
      <c r="O238" s="68">
        <v>3.4125000000000003E-2</v>
      </c>
      <c r="P238" s="68">
        <f t="shared" si="217"/>
        <v>0</v>
      </c>
      <c r="Q238" s="100">
        <v>1</v>
      </c>
      <c r="R238" s="104">
        <f t="shared" si="195"/>
        <v>2.85337</v>
      </c>
      <c r="S238" s="73">
        <v>439319</v>
      </c>
      <c r="T238" s="77">
        <f t="shared" si="218"/>
        <v>5580352</v>
      </c>
      <c r="U238" s="78">
        <v>1092000</v>
      </c>
      <c r="V238" s="78">
        <f t="shared" si="220"/>
        <v>901570.48800000001</v>
      </c>
      <c r="W238" s="40" t="s">
        <v>70</v>
      </c>
      <c r="X238" s="129" t="s">
        <v>108</v>
      </c>
      <c r="Y238" s="79">
        <v>8.15</v>
      </c>
      <c r="Z238" s="79"/>
      <c r="AA238" s="79" t="s">
        <v>109</v>
      </c>
      <c r="AB238" s="80">
        <v>2.2845</v>
      </c>
      <c r="AC238" s="78">
        <f t="shared" si="221"/>
        <v>1268531.4159049999</v>
      </c>
      <c r="AD238" s="83">
        <f t="shared" si="219"/>
        <v>1003624.2555</v>
      </c>
      <c r="AE238" s="77">
        <f t="shared" si="222"/>
        <v>3580.44985</v>
      </c>
      <c r="AF238" s="84"/>
    </row>
    <row r="239" spans="2:32" s="43" customFormat="1" hidden="1">
      <c r="B239" s="17" t="s">
        <v>9</v>
      </c>
      <c r="C239" s="40" t="s">
        <v>16</v>
      </c>
      <c r="D239" s="40" t="s">
        <v>106</v>
      </c>
      <c r="E239" s="91" t="s">
        <v>107</v>
      </c>
      <c r="F239" s="40" t="s">
        <v>51</v>
      </c>
      <c r="G239" s="40"/>
      <c r="H239" s="40" t="s">
        <v>52</v>
      </c>
      <c r="I239" s="57">
        <v>2024</v>
      </c>
      <c r="J239" s="57">
        <v>4</v>
      </c>
      <c r="K239" s="29">
        <v>45597</v>
      </c>
      <c r="L239" s="66"/>
      <c r="M239" s="68">
        <f t="shared" si="215"/>
        <v>2.85337</v>
      </c>
      <c r="N239" s="68">
        <f t="shared" si="216"/>
        <v>2.8874949999999999</v>
      </c>
      <c r="O239" s="68">
        <v>3.4125000000000003E-2</v>
      </c>
      <c r="P239" s="68">
        <f t="shared" si="217"/>
        <v>0</v>
      </c>
      <c r="Q239" s="100">
        <v>1</v>
      </c>
      <c r="R239" s="104">
        <f t="shared" si="195"/>
        <v>2.85337</v>
      </c>
      <c r="S239" s="73">
        <v>697987</v>
      </c>
      <c r="T239" s="77">
        <f t="shared" si="218"/>
        <v>5141033</v>
      </c>
      <c r="U239" s="78">
        <v>1092000</v>
      </c>
      <c r="V239" s="78">
        <f t="shared" si="220"/>
        <v>916562.24887500005</v>
      </c>
      <c r="W239" s="40" t="s">
        <v>70</v>
      </c>
      <c r="X239" s="129" t="s">
        <v>108</v>
      </c>
      <c r="Y239" s="79">
        <v>8.15</v>
      </c>
      <c r="Z239" s="79"/>
      <c r="AA239" s="79" t="s">
        <v>109</v>
      </c>
      <c r="AB239" s="80">
        <v>2.2845</v>
      </c>
      <c r="AC239" s="78">
        <f t="shared" si="221"/>
        <v>2015433.9725649999</v>
      </c>
      <c r="AD239" s="83">
        <f t="shared" si="219"/>
        <v>1594551.3015000001</v>
      </c>
      <c r="AE239" s="77">
        <f t="shared" si="222"/>
        <v>5688.5940499999997</v>
      </c>
      <c r="AF239" s="84"/>
    </row>
    <row r="240" spans="2:32" s="43" customFormat="1" hidden="1">
      <c r="B240" s="17" t="s">
        <v>9</v>
      </c>
      <c r="C240" s="40" t="s">
        <v>16</v>
      </c>
      <c r="D240" s="40" t="s">
        <v>106</v>
      </c>
      <c r="E240" s="91" t="s">
        <v>107</v>
      </c>
      <c r="F240" s="40" t="s">
        <v>51</v>
      </c>
      <c r="G240" s="40"/>
      <c r="H240" s="40" t="s">
        <v>52</v>
      </c>
      <c r="I240" s="57">
        <v>2024</v>
      </c>
      <c r="J240" s="57">
        <v>3</v>
      </c>
      <c r="K240" s="29">
        <v>45597</v>
      </c>
      <c r="L240" s="66"/>
      <c r="M240" s="68">
        <f t="shared" si="215"/>
        <v>2.85337</v>
      </c>
      <c r="N240" s="68">
        <f t="shared" si="216"/>
        <v>2.8874949999999999</v>
      </c>
      <c r="O240" s="68">
        <v>3.4125000000000003E-2</v>
      </c>
      <c r="P240" s="68">
        <f t="shared" si="217"/>
        <v>0</v>
      </c>
      <c r="Q240" s="100">
        <v>1</v>
      </c>
      <c r="R240" s="104">
        <f t="shared" si="195"/>
        <v>2.85337</v>
      </c>
      <c r="S240" s="73">
        <v>570468</v>
      </c>
      <c r="T240" s="77">
        <f t="shared" si="218"/>
        <v>4443046</v>
      </c>
      <c r="U240" s="78">
        <v>1092000</v>
      </c>
      <c r="V240" s="78">
        <f t="shared" si="220"/>
        <v>940381.05524999998</v>
      </c>
      <c r="W240" s="40" t="s">
        <v>70</v>
      </c>
      <c r="X240" s="129" t="s">
        <v>108</v>
      </c>
      <c r="Y240" s="79">
        <v>8.15</v>
      </c>
      <c r="Z240" s="79"/>
      <c r="AA240" s="79" t="s">
        <v>109</v>
      </c>
      <c r="AB240" s="80">
        <v>2.2845</v>
      </c>
      <c r="AC240" s="78">
        <f t="shared" si="221"/>
        <v>1647223.4976599999</v>
      </c>
      <c r="AD240" s="83">
        <f t="shared" si="219"/>
        <v>1303234.1459999999</v>
      </c>
      <c r="AE240" s="77">
        <f t="shared" si="222"/>
        <v>4649.3141999999998</v>
      </c>
      <c r="AF240" s="84"/>
    </row>
    <row r="241" spans="2:32" s="43" customFormat="1" hidden="1">
      <c r="B241" s="17" t="s">
        <v>9</v>
      </c>
      <c r="C241" s="40" t="s">
        <v>16</v>
      </c>
      <c r="D241" s="40" t="s">
        <v>106</v>
      </c>
      <c r="E241" s="91" t="s">
        <v>107</v>
      </c>
      <c r="F241" s="40" t="s">
        <v>51</v>
      </c>
      <c r="G241" s="40"/>
      <c r="H241" s="40" t="s">
        <v>52</v>
      </c>
      <c r="I241" s="57">
        <v>2024</v>
      </c>
      <c r="J241" s="57">
        <v>2</v>
      </c>
      <c r="K241" s="29">
        <v>45597</v>
      </c>
      <c r="L241" s="66"/>
      <c r="M241" s="68">
        <f t="shared" si="215"/>
        <v>2.85337</v>
      </c>
      <c r="N241" s="68">
        <f t="shared" si="216"/>
        <v>2.8874949999999999</v>
      </c>
      <c r="O241" s="68">
        <v>3.4125000000000003E-2</v>
      </c>
      <c r="P241" s="68">
        <f t="shared" si="217"/>
        <v>0</v>
      </c>
      <c r="Q241" s="100">
        <v>1</v>
      </c>
      <c r="R241" s="104">
        <f t="shared" si="195"/>
        <v>2.85337</v>
      </c>
      <c r="S241" s="73">
        <v>96631</v>
      </c>
      <c r="T241" s="77">
        <f t="shared" si="218"/>
        <v>3872578</v>
      </c>
      <c r="U241" s="78">
        <v>1092000</v>
      </c>
      <c r="V241" s="78">
        <f t="shared" si="220"/>
        <v>959848.27575000003</v>
      </c>
      <c r="W241" s="40" t="s">
        <v>70</v>
      </c>
      <c r="X241" s="129" t="s">
        <v>108</v>
      </c>
      <c r="Y241" s="79">
        <v>8.15</v>
      </c>
      <c r="Z241" s="79"/>
      <c r="AA241" s="79" t="s">
        <v>109</v>
      </c>
      <c r="AB241" s="80">
        <v>2.2845</v>
      </c>
      <c r="AC241" s="78">
        <f t="shared" si="221"/>
        <v>279021.52934499999</v>
      </c>
      <c r="AD241" s="83">
        <f t="shared" si="219"/>
        <v>220753.51949999999</v>
      </c>
      <c r="AE241" s="77">
        <f t="shared" si="222"/>
        <v>787.54264999999998</v>
      </c>
      <c r="AF241" s="84"/>
    </row>
    <row r="242" spans="2:32" s="43" customFormat="1" hidden="1">
      <c r="B242" s="17" t="s">
        <v>9</v>
      </c>
      <c r="C242" s="40" t="s">
        <v>16</v>
      </c>
      <c r="D242" s="40" t="s">
        <v>106</v>
      </c>
      <c r="E242" s="91" t="s">
        <v>107</v>
      </c>
      <c r="F242" s="40" t="s">
        <v>51</v>
      </c>
      <c r="G242" s="40"/>
      <c r="H242" s="40" t="s">
        <v>52</v>
      </c>
      <c r="I242" s="57">
        <v>2024</v>
      </c>
      <c r="J242" s="57">
        <v>1</v>
      </c>
      <c r="K242" s="29">
        <v>45597</v>
      </c>
      <c r="L242" s="66"/>
      <c r="M242" s="68">
        <f t="shared" si="215"/>
        <v>2.85337</v>
      </c>
      <c r="N242" s="68">
        <f t="shared" si="216"/>
        <v>2.8874949999999999</v>
      </c>
      <c r="O242" s="68">
        <v>3.4125000000000003E-2</v>
      </c>
      <c r="P242" s="68">
        <f t="shared" si="217"/>
        <v>0</v>
      </c>
      <c r="Q242" s="100">
        <v>1</v>
      </c>
      <c r="R242" s="104">
        <f t="shared" si="195"/>
        <v>2.85337</v>
      </c>
      <c r="S242" s="73">
        <v>301890</v>
      </c>
      <c r="T242" s="77">
        <f t="shared" si="218"/>
        <v>3775947</v>
      </c>
      <c r="U242" s="78">
        <v>1092000</v>
      </c>
      <c r="V242" s="78">
        <f t="shared" si="220"/>
        <v>963145.80862499995</v>
      </c>
      <c r="W242" s="40" t="s">
        <v>70</v>
      </c>
      <c r="X242" s="129" t="s">
        <v>108</v>
      </c>
      <c r="Y242" s="79">
        <v>8.15</v>
      </c>
      <c r="Z242" s="79"/>
      <c r="AA242" s="79" t="s">
        <v>109</v>
      </c>
      <c r="AB242" s="80">
        <v>2.2845</v>
      </c>
      <c r="AC242" s="78">
        <f t="shared" si="221"/>
        <v>871705.86554999999</v>
      </c>
      <c r="AD242" s="83">
        <f t="shared" si="219"/>
        <v>689667.70499999996</v>
      </c>
      <c r="AE242" s="77">
        <f t="shared" si="222"/>
        <v>2460.4034999999999</v>
      </c>
      <c r="AF242" s="84"/>
    </row>
    <row r="243" spans="2:32" s="43" customFormat="1" hidden="1">
      <c r="B243" s="17" t="s">
        <v>9</v>
      </c>
      <c r="C243" s="40" t="s">
        <v>16</v>
      </c>
      <c r="D243" s="40" t="s">
        <v>106</v>
      </c>
      <c r="E243" s="91" t="s">
        <v>107</v>
      </c>
      <c r="F243" s="40" t="s">
        <v>51</v>
      </c>
      <c r="G243" s="40"/>
      <c r="H243" s="40" t="s">
        <v>52</v>
      </c>
      <c r="I243" s="57">
        <v>2023</v>
      </c>
      <c r="J243" s="57">
        <v>12</v>
      </c>
      <c r="K243" s="29">
        <v>45597</v>
      </c>
      <c r="L243" s="66"/>
      <c r="M243" s="68">
        <f t="shared" si="215"/>
        <v>2.85337</v>
      </c>
      <c r="N243" s="68">
        <f t="shared" si="216"/>
        <v>2.8874949999999999</v>
      </c>
      <c r="O243" s="68">
        <v>3.4125000000000003E-2</v>
      </c>
      <c r="P243" s="68">
        <f t="shared" si="217"/>
        <v>0</v>
      </c>
      <c r="Q243" s="100">
        <v>1</v>
      </c>
      <c r="R243" s="104">
        <f t="shared" si="195"/>
        <v>2.85337</v>
      </c>
      <c r="S243" s="73">
        <v>61476</v>
      </c>
      <c r="T243" s="77">
        <f t="shared" si="218"/>
        <v>3474057</v>
      </c>
      <c r="U243" s="78">
        <v>1092000</v>
      </c>
      <c r="V243" s="78">
        <f t="shared" si="220"/>
        <v>973447.80487500003</v>
      </c>
      <c r="W243" s="40" t="s">
        <v>70</v>
      </c>
      <c r="X243" s="129" t="s">
        <v>108</v>
      </c>
      <c r="Y243" s="79">
        <v>8.15</v>
      </c>
      <c r="Z243" s="79"/>
      <c r="AA243" s="79" t="s">
        <v>109</v>
      </c>
      <c r="AB243" s="80">
        <v>2.2845</v>
      </c>
      <c r="AC243" s="78">
        <f t="shared" si="221"/>
        <v>177511.64262</v>
      </c>
      <c r="AD243" s="83">
        <f t="shared" si="219"/>
        <v>140441.92199999999</v>
      </c>
      <c r="AE243" s="77">
        <f t="shared" si="222"/>
        <v>501.02940000000001</v>
      </c>
      <c r="AF243" s="84"/>
    </row>
    <row r="244" spans="2:32" s="43" customFormat="1" hidden="1">
      <c r="B244" s="17" t="s">
        <v>9</v>
      </c>
      <c r="C244" s="40" t="s">
        <v>16</v>
      </c>
      <c r="D244" s="40" t="s">
        <v>106</v>
      </c>
      <c r="E244" s="91" t="s">
        <v>107</v>
      </c>
      <c r="F244" s="40" t="s">
        <v>51</v>
      </c>
      <c r="G244" s="40"/>
      <c r="H244" s="40" t="s">
        <v>52</v>
      </c>
      <c r="I244" s="57">
        <v>2023</v>
      </c>
      <c r="J244" s="57">
        <v>11</v>
      </c>
      <c r="K244" s="29">
        <v>45597</v>
      </c>
      <c r="L244" s="66"/>
      <c r="M244" s="68">
        <f t="shared" si="215"/>
        <v>2.85337</v>
      </c>
      <c r="N244" s="68">
        <f t="shared" si="216"/>
        <v>2.8874949999999999</v>
      </c>
      <c r="O244" s="68">
        <v>3.4125000000000003E-2</v>
      </c>
      <c r="P244" s="68">
        <f t="shared" si="217"/>
        <v>0</v>
      </c>
      <c r="Q244" s="100">
        <v>1</v>
      </c>
      <c r="R244" s="104">
        <f t="shared" si="195"/>
        <v>2.85337</v>
      </c>
      <c r="S244" s="73">
        <v>244569</v>
      </c>
      <c r="T244" s="77">
        <f t="shared" si="218"/>
        <v>3412581</v>
      </c>
      <c r="U244" s="78">
        <v>1092000</v>
      </c>
      <c r="V244" s="78">
        <f t="shared" si="220"/>
        <v>975545.67337500001</v>
      </c>
      <c r="W244" s="40" t="s">
        <v>70</v>
      </c>
      <c r="X244" s="129" t="s">
        <v>108</v>
      </c>
      <c r="Y244" s="79">
        <v>8.15</v>
      </c>
      <c r="Z244" s="79"/>
      <c r="AA244" s="79" t="s">
        <v>109</v>
      </c>
      <c r="AB244" s="80">
        <v>2.2845</v>
      </c>
      <c r="AC244" s="78">
        <f t="shared" si="221"/>
        <v>706191.76465499995</v>
      </c>
      <c r="AD244" s="83">
        <f t="shared" si="219"/>
        <v>558717.88049999997</v>
      </c>
      <c r="AE244" s="77">
        <f t="shared" si="222"/>
        <v>1993.2373500000001</v>
      </c>
      <c r="AF244" s="84"/>
    </row>
    <row r="245" spans="2:32" s="43" customFormat="1" hidden="1">
      <c r="B245" s="17" t="s">
        <v>9</v>
      </c>
      <c r="C245" s="40" t="s">
        <v>16</v>
      </c>
      <c r="D245" s="40" t="s">
        <v>106</v>
      </c>
      <c r="E245" s="91" t="s">
        <v>107</v>
      </c>
      <c r="F245" s="40" t="s">
        <v>51</v>
      </c>
      <c r="G245" s="40"/>
      <c r="H245" s="40" t="s">
        <v>52</v>
      </c>
      <c r="I245" s="57">
        <v>2023</v>
      </c>
      <c r="J245" s="57">
        <v>10</v>
      </c>
      <c r="K245" s="29">
        <v>45597</v>
      </c>
      <c r="L245" s="66"/>
      <c r="M245" s="68">
        <f t="shared" si="215"/>
        <v>2.85337</v>
      </c>
      <c r="N245" s="68">
        <f t="shared" si="216"/>
        <v>2.8874949999999999</v>
      </c>
      <c r="O245" s="68">
        <v>3.4125000000000003E-2</v>
      </c>
      <c r="P245" s="68">
        <f t="shared" si="217"/>
        <v>0</v>
      </c>
      <c r="Q245" s="100">
        <v>1</v>
      </c>
      <c r="R245" s="104">
        <f t="shared" si="195"/>
        <v>2.85337</v>
      </c>
      <c r="S245" s="73">
        <v>204551</v>
      </c>
      <c r="T245" s="77">
        <f t="shared" si="218"/>
        <v>3168012</v>
      </c>
      <c r="U245" s="78">
        <v>1092000</v>
      </c>
      <c r="V245" s="78">
        <f t="shared" si="220"/>
        <v>983891.59049999993</v>
      </c>
      <c r="W245" s="40" t="s">
        <v>70</v>
      </c>
      <c r="X245" s="129" t="s">
        <v>108</v>
      </c>
      <c r="Y245" s="79">
        <v>8.15</v>
      </c>
      <c r="Z245" s="79"/>
      <c r="AA245" s="79" t="s">
        <v>109</v>
      </c>
      <c r="AB245" s="80">
        <v>2.2845</v>
      </c>
      <c r="AC245" s="78">
        <f t="shared" si="221"/>
        <v>590639.98974500003</v>
      </c>
      <c r="AD245" s="83">
        <f t="shared" si="219"/>
        <v>467296.75949999999</v>
      </c>
      <c r="AE245" s="77">
        <f t="shared" si="222"/>
        <v>1667.0906500000001</v>
      </c>
      <c r="AF245" s="84"/>
    </row>
    <row r="246" spans="2:32" s="43" customFormat="1" hidden="1">
      <c r="B246" s="17" t="s">
        <v>9</v>
      </c>
      <c r="C246" s="40" t="s">
        <v>16</v>
      </c>
      <c r="D246" s="40" t="s">
        <v>106</v>
      </c>
      <c r="E246" s="91" t="s">
        <v>107</v>
      </c>
      <c r="F246" s="40" t="s">
        <v>51</v>
      </c>
      <c r="G246" s="40"/>
      <c r="H246" s="40" t="s">
        <v>52</v>
      </c>
      <c r="I246" s="57">
        <v>2023</v>
      </c>
      <c r="J246" s="57">
        <v>9</v>
      </c>
      <c r="K246" s="29">
        <v>45597</v>
      </c>
      <c r="L246" s="66"/>
      <c r="M246" s="68">
        <f t="shared" si="215"/>
        <v>2.85337</v>
      </c>
      <c r="N246" s="68">
        <f t="shared" si="216"/>
        <v>2.8874949999999999</v>
      </c>
      <c r="O246" s="68">
        <v>3.4125000000000003E-2</v>
      </c>
      <c r="P246" s="68">
        <f t="shared" si="217"/>
        <v>0</v>
      </c>
      <c r="Q246" s="100">
        <v>1</v>
      </c>
      <c r="R246" s="104">
        <f t="shared" si="195"/>
        <v>2.85337</v>
      </c>
      <c r="S246" s="73">
        <v>493817</v>
      </c>
      <c r="T246" s="77">
        <f t="shared" si="218"/>
        <v>2963461</v>
      </c>
      <c r="U246" s="78">
        <v>1092000</v>
      </c>
      <c r="V246" s="78">
        <f t="shared" si="220"/>
        <v>990871.89337499999</v>
      </c>
      <c r="W246" s="40" t="s">
        <v>70</v>
      </c>
      <c r="X246" s="129" t="s">
        <v>108</v>
      </c>
      <c r="Y246" s="79">
        <v>8.15</v>
      </c>
      <c r="Z246" s="79"/>
      <c r="AA246" s="79" t="s">
        <v>109</v>
      </c>
      <c r="AB246" s="80">
        <v>2.2845</v>
      </c>
      <c r="AC246" s="78">
        <f t="shared" si="221"/>
        <v>1425894.1184149999</v>
      </c>
      <c r="AD246" s="83">
        <f t="shared" si="219"/>
        <v>1128124.9365000001</v>
      </c>
      <c r="AE246" s="77">
        <f t="shared" si="222"/>
        <v>4024.6085500000004</v>
      </c>
      <c r="AF246" s="84"/>
    </row>
    <row r="247" spans="2:32" s="43" customFormat="1" hidden="1">
      <c r="B247" s="17" t="s">
        <v>9</v>
      </c>
      <c r="C247" s="40" t="s">
        <v>16</v>
      </c>
      <c r="D247" s="40" t="s">
        <v>106</v>
      </c>
      <c r="E247" s="91" t="s">
        <v>107</v>
      </c>
      <c r="F247" s="40" t="s">
        <v>51</v>
      </c>
      <c r="G247" s="40"/>
      <c r="H247" s="40" t="s">
        <v>52</v>
      </c>
      <c r="I247" s="57">
        <v>2023</v>
      </c>
      <c r="J247" s="57">
        <v>8</v>
      </c>
      <c r="K247" s="29">
        <v>45597</v>
      </c>
      <c r="L247" s="66"/>
      <c r="M247" s="68">
        <f t="shared" si="215"/>
        <v>2.85337</v>
      </c>
      <c r="N247" s="68">
        <f t="shared" ref="N247:N279" si="223">M247+O247</f>
        <v>2.8874949999999999</v>
      </c>
      <c r="O247" s="68">
        <v>3.4125000000000003E-2</v>
      </c>
      <c r="P247" s="68">
        <f t="shared" si="217"/>
        <v>0</v>
      </c>
      <c r="Q247" s="100">
        <v>1</v>
      </c>
      <c r="R247" s="104">
        <f t="shared" si="195"/>
        <v>2.85337</v>
      </c>
      <c r="S247" s="73">
        <v>488690</v>
      </c>
      <c r="T247" s="77">
        <f t="shared" si="218"/>
        <v>2469644</v>
      </c>
      <c r="U247" s="78">
        <v>1092000</v>
      </c>
      <c r="V247" s="78">
        <f t="shared" si="220"/>
        <v>1007723.3985</v>
      </c>
      <c r="W247" s="40" t="s">
        <v>70</v>
      </c>
      <c r="X247" s="129" t="s">
        <v>108</v>
      </c>
      <c r="Y247" s="79">
        <v>8.15</v>
      </c>
      <c r="Z247" s="79"/>
      <c r="AA247" s="79" t="s">
        <v>109</v>
      </c>
      <c r="AB247" s="80">
        <v>2.2845</v>
      </c>
      <c r="AC247" s="78">
        <f t="shared" si="221"/>
        <v>1411089.9315499999</v>
      </c>
      <c r="AD247" s="83">
        <f t="shared" si="219"/>
        <v>1116412.3049999999</v>
      </c>
      <c r="AE247" s="77">
        <f t="shared" si="222"/>
        <v>3982.8235</v>
      </c>
      <c r="AF247" s="84"/>
    </row>
    <row r="248" spans="2:32" s="43" customFormat="1" hidden="1">
      <c r="B248" s="17" t="s">
        <v>9</v>
      </c>
      <c r="C248" s="40" t="s">
        <v>16</v>
      </c>
      <c r="D248" s="40" t="s">
        <v>106</v>
      </c>
      <c r="E248" s="91" t="s">
        <v>107</v>
      </c>
      <c r="F248" s="40" t="s">
        <v>51</v>
      </c>
      <c r="G248" s="40"/>
      <c r="H248" s="40" t="s">
        <v>52</v>
      </c>
      <c r="I248" s="57">
        <v>2023</v>
      </c>
      <c r="J248" s="57">
        <v>7</v>
      </c>
      <c r="K248" s="29">
        <v>45597</v>
      </c>
      <c r="L248" s="66"/>
      <c r="M248" s="68">
        <f t="shared" si="215"/>
        <v>2.85337</v>
      </c>
      <c r="N248" s="68">
        <f t="shared" si="223"/>
        <v>2.8874949999999999</v>
      </c>
      <c r="O248" s="68">
        <v>3.4125000000000003E-2</v>
      </c>
      <c r="P248" s="68">
        <f t="shared" si="217"/>
        <v>0</v>
      </c>
      <c r="Q248" s="100">
        <v>1</v>
      </c>
      <c r="R248" s="104">
        <f t="shared" si="195"/>
        <v>2.85337</v>
      </c>
      <c r="S248" s="73">
        <v>418243</v>
      </c>
      <c r="T248" s="77">
        <f t="shared" si="218"/>
        <v>1980954</v>
      </c>
      <c r="U248" s="78">
        <v>1092000</v>
      </c>
      <c r="V248" s="78">
        <f t="shared" si="220"/>
        <v>1024399.94475</v>
      </c>
      <c r="W248" s="40" t="s">
        <v>70</v>
      </c>
      <c r="X248" s="129" t="s">
        <v>108</v>
      </c>
      <c r="Y248" s="79">
        <v>8.15</v>
      </c>
      <c r="Z248" s="79"/>
      <c r="AA248" s="79" t="s">
        <v>109</v>
      </c>
      <c r="AB248" s="80">
        <v>2.2845</v>
      </c>
      <c r="AC248" s="78">
        <f t="shared" si="221"/>
        <v>1207674.5712850001</v>
      </c>
      <c r="AD248" s="83">
        <f t="shared" si="219"/>
        <v>955476.1335</v>
      </c>
      <c r="AE248" s="77">
        <f t="shared" si="222"/>
        <v>3408.6804500000003</v>
      </c>
      <c r="AF248" s="84"/>
    </row>
    <row r="249" spans="2:32" s="43" customFormat="1" hidden="1">
      <c r="B249" s="17" t="s">
        <v>9</v>
      </c>
      <c r="C249" s="40" t="s">
        <v>16</v>
      </c>
      <c r="D249" s="40" t="s">
        <v>106</v>
      </c>
      <c r="E249" s="91" t="s">
        <v>107</v>
      </c>
      <c r="F249" s="40" t="s">
        <v>51</v>
      </c>
      <c r="G249" s="40"/>
      <c r="H249" s="40" t="s">
        <v>52</v>
      </c>
      <c r="I249" s="57">
        <v>2023</v>
      </c>
      <c r="J249" s="57">
        <v>6</v>
      </c>
      <c r="K249" s="29">
        <v>45597</v>
      </c>
      <c r="L249" s="66"/>
      <c r="M249" s="68">
        <f t="shared" si="215"/>
        <v>2.85337</v>
      </c>
      <c r="N249" s="68">
        <f t="shared" si="223"/>
        <v>2.8874949999999999</v>
      </c>
      <c r="O249" s="68">
        <v>3.4125000000000003E-2</v>
      </c>
      <c r="P249" s="68">
        <f t="shared" si="217"/>
        <v>0</v>
      </c>
      <c r="Q249" s="100">
        <v>1</v>
      </c>
      <c r="R249" s="104">
        <f t="shared" si="195"/>
        <v>2.85337</v>
      </c>
      <c r="S249" s="73">
        <v>232548</v>
      </c>
      <c r="T249" s="77">
        <f t="shared" si="218"/>
        <v>1562711</v>
      </c>
      <c r="U249" s="78">
        <v>1092000</v>
      </c>
      <c r="V249" s="78">
        <f t="shared" si="220"/>
        <v>1038672.487125</v>
      </c>
      <c r="W249" s="40" t="s">
        <v>70</v>
      </c>
      <c r="X249" s="129" t="s">
        <v>108</v>
      </c>
      <c r="Y249" s="79">
        <v>8.15</v>
      </c>
      <c r="Z249" s="79"/>
      <c r="AA249" s="79" t="s">
        <v>109</v>
      </c>
      <c r="AB249" s="80">
        <v>2.2845</v>
      </c>
      <c r="AC249" s="78">
        <f t="shared" si="221"/>
        <v>671481.18726000004</v>
      </c>
      <c r="AD249" s="83">
        <f t="shared" si="219"/>
        <v>531255.90599999996</v>
      </c>
      <c r="AE249" s="77">
        <f t="shared" si="222"/>
        <v>1895.2662000000003</v>
      </c>
      <c r="AF249" s="84"/>
    </row>
    <row r="250" spans="2:32" s="43" customFormat="1" hidden="1">
      <c r="B250" s="17" t="s">
        <v>9</v>
      </c>
      <c r="C250" s="40" t="s">
        <v>16</v>
      </c>
      <c r="D250" s="40" t="s">
        <v>106</v>
      </c>
      <c r="E250" s="91" t="s">
        <v>107</v>
      </c>
      <c r="F250" s="40" t="s">
        <v>51</v>
      </c>
      <c r="G250" s="40"/>
      <c r="H250" s="40" t="s">
        <v>52</v>
      </c>
      <c r="I250" s="57">
        <v>2023</v>
      </c>
      <c r="J250" s="57">
        <v>5</v>
      </c>
      <c r="K250" s="29">
        <v>45597</v>
      </c>
      <c r="L250" s="66"/>
      <c r="M250" s="68">
        <f t="shared" si="215"/>
        <v>2.85337</v>
      </c>
      <c r="N250" s="68">
        <f t="shared" si="223"/>
        <v>2.8874949999999999</v>
      </c>
      <c r="O250" s="68">
        <v>3.4125000000000003E-2</v>
      </c>
      <c r="P250" s="68">
        <f t="shared" si="217"/>
        <v>0</v>
      </c>
      <c r="Q250" s="100">
        <v>1</v>
      </c>
      <c r="R250" s="104">
        <f t="shared" si="195"/>
        <v>2.85337</v>
      </c>
      <c r="S250" s="73">
        <v>438975</v>
      </c>
      <c r="T250" s="77">
        <f t="shared" si="218"/>
        <v>1330163</v>
      </c>
      <c r="U250" s="78">
        <v>1092000</v>
      </c>
      <c r="V250" s="78">
        <f t="shared" si="220"/>
        <v>1046608.187625</v>
      </c>
      <c r="W250" s="40" t="s">
        <v>70</v>
      </c>
      <c r="X250" s="129" t="s">
        <v>108</v>
      </c>
      <c r="Y250" s="79">
        <v>8.15</v>
      </c>
      <c r="Z250" s="79"/>
      <c r="AA250" s="79" t="s">
        <v>109</v>
      </c>
      <c r="AB250" s="80">
        <v>2.2845</v>
      </c>
      <c r="AC250" s="78">
        <f t="shared" si="221"/>
        <v>1267538.117625</v>
      </c>
      <c r="AD250" s="83">
        <f t="shared" si="219"/>
        <v>1002838.3875</v>
      </c>
      <c r="AE250" s="77">
        <f t="shared" si="222"/>
        <v>3577.6462499999998</v>
      </c>
      <c r="AF250" s="84"/>
    </row>
    <row r="251" spans="2:32" s="43" customFormat="1" hidden="1">
      <c r="B251" s="17" t="s">
        <v>9</v>
      </c>
      <c r="C251" s="40" t="s">
        <v>16</v>
      </c>
      <c r="D251" s="40" t="s">
        <v>106</v>
      </c>
      <c r="E251" s="91" t="s">
        <v>107</v>
      </c>
      <c r="F251" s="40" t="s">
        <v>51</v>
      </c>
      <c r="G251" s="40"/>
      <c r="H251" s="40" t="s">
        <v>52</v>
      </c>
      <c r="I251" s="57">
        <v>2023</v>
      </c>
      <c r="J251" s="57">
        <v>4</v>
      </c>
      <c r="K251" s="29">
        <v>45597</v>
      </c>
      <c r="L251" s="66"/>
      <c r="M251" s="68">
        <f t="shared" si="215"/>
        <v>2.85337</v>
      </c>
      <c r="N251" s="68">
        <f t="shared" si="223"/>
        <v>2.8874949999999999</v>
      </c>
      <c r="O251" s="68">
        <v>3.4125000000000003E-2</v>
      </c>
      <c r="P251" s="68">
        <f t="shared" si="217"/>
        <v>0</v>
      </c>
      <c r="Q251" s="100">
        <v>1</v>
      </c>
      <c r="R251" s="104">
        <f t="shared" si="195"/>
        <v>2.85337</v>
      </c>
      <c r="S251" s="73">
        <v>107264</v>
      </c>
      <c r="T251" s="77">
        <f t="shared" si="218"/>
        <v>891188</v>
      </c>
      <c r="U251" s="78">
        <v>1092000</v>
      </c>
      <c r="V251" s="78">
        <f t="shared" si="220"/>
        <v>1061588.2094999999</v>
      </c>
      <c r="W251" s="40" t="s">
        <v>70</v>
      </c>
      <c r="X251" s="129" t="s">
        <v>108</v>
      </c>
      <c r="Y251" s="79">
        <v>8.15</v>
      </c>
      <c r="Z251" s="79"/>
      <c r="AA251" s="79" t="s">
        <v>109</v>
      </c>
      <c r="AB251" s="80">
        <v>2.2845</v>
      </c>
      <c r="AC251" s="78">
        <f t="shared" si="221"/>
        <v>309724.26367999997</v>
      </c>
      <c r="AD251" s="83">
        <f t="shared" si="219"/>
        <v>245044.60800000001</v>
      </c>
      <c r="AE251" s="77">
        <f t="shared" si="222"/>
        <v>874.2016000000001</v>
      </c>
      <c r="AF251" s="84"/>
    </row>
    <row r="252" spans="2:32" s="43" customFormat="1" hidden="1">
      <c r="B252" s="17" t="s">
        <v>9</v>
      </c>
      <c r="C252" s="40" t="s">
        <v>16</v>
      </c>
      <c r="D252" s="40" t="s">
        <v>106</v>
      </c>
      <c r="E252" s="91" t="s">
        <v>107</v>
      </c>
      <c r="F252" s="40" t="s">
        <v>51</v>
      </c>
      <c r="G252" s="40"/>
      <c r="H252" s="40" t="s">
        <v>52</v>
      </c>
      <c r="I252" s="57">
        <v>2023</v>
      </c>
      <c r="J252" s="57">
        <v>3</v>
      </c>
      <c r="K252" s="29">
        <v>45597</v>
      </c>
      <c r="L252" s="66"/>
      <c r="M252" s="68">
        <f t="shared" si="215"/>
        <v>2.85337</v>
      </c>
      <c r="N252" s="68">
        <f t="shared" si="223"/>
        <v>2.8874949999999999</v>
      </c>
      <c r="O252" s="68">
        <v>3.4125000000000003E-2</v>
      </c>
      <c r="P252" s="68">
        <f t="shared" si="217"/>
        <v>0</v>
      </c>
      <c r="Q252" s="100">
        <v>1</v>
      </c>
      <c r="R252" s="104">
        <f t="shared" si="195"/>
        <v>2.85337</v>
      </c>
      <c r="S252" s="73">
        <v>524293</v>
      </c>
      <c r="T252" s="77">
        <f t="shared" si="218"/>
        <v>783924</v>
      </c>
      <c r="U252" s="78">
        <v>1092000</v>
      </c>
      <c r="V252" s="78">
        <f t="shared" si="220"/>
        <v>1065248.5935</v>
      </c>
      <c r="W252" s="40" t="s">
        <v>70</v>
      </c>
      <c r="X252" s="129" t="s">
        <v>108</v>
      </c>
      <c r="Y252" s="79">
        <v>8.15</v>
      </c>
      <c r="Z252" s="79"/>
      <c r="AA252" s="79" t="s">
        <v>109</v>
      </c>
      <c r="AB252" s="80">
        <v>2.2845</v>
      </c>
      <c r="AC252" s="78">
        <f t="shared" si="221"/>
        <v>1513893.416035</v>
      </c>
      <c r="AD252" s="83">
        <f t="shared" si="219"/>
        <v>1197747.3585000001</v>
      </c>
      <c r="AE252" s="77">
        <f t="shared" si="222"/>
        <v>4272.9879500000006</v>
      </c>
      <c r="AF252" s="84"/>
    </row>
    <row r="253" spans="2:32" s="43" customFormat="1" hidden="1">
      <c r="B253" s="17" t="s">
        <v>9</v>
      </c>
      <c r="C253" s="40" t="s">
        <v>16</v>
      </c>
      <c r="D253" s="40" t="s">
        <v>106</v>
      </c>
      <c r="E253" s="91" t="s">
        <v>107</v>
      </c>
      <c r="F253" s="40" t="s">
        <v>51</v>
      </c>
      <c r="G253" s="40"/>
      <c r="H253" s="40" t="s">
        <v>52</v>
      </c>
      <c r="I253" s="57">
        <v>2023</v>
      </c>
      <c r="J253" s="57">
        <v>2</v>
      </c>
      <c r="K253" s="29">
        <v>45597</v>
      </c>
      <c r="L253" s="66"/>
      <c r="M253" s="68">
        <f t="shared" si="215"/>
        <v>2.85337</v>
      </c>
      <c r="N253" s="68">
        <f t="shared" si="223"/>
        <v>2.8874949999999999</v>
      </c>
      <c r="O253" s="68">
        <v>3.4125000000000003E-2</v>
      </c>
      <c r="P253" s="68">
        <f t="shared" si="217"/>
        <v>0</v>
      </c>
      <c r="Q253" s="100">
        <v>1</v>
      </c>
      <c r="R253" s="104">
        <f t="shared" si="195"/>
        <v>2.85337</v>
      </c>
      <c r="S253" s="73">
        <v>78548</v>
      </c>
      <c r="T253" s="77">
        <f t="shared" si="218"/>
        <v>259631</v>
      </c>
      <c r="U253" s="78">
        <v>1092000</v>
      </c>
      <c r="V253" s="78">
        <f t="shared" si="220"/>
        <v>1083140.092125</v>
      </c>
      <c r="W253" s="40" t="s">
        <v>70</v>
      </c>
      <c r="X253" s="129" t="s">
        <v>108</v>
      </c>
      <c r="Y253" s="79">
        <v>8.15</v>
      </c>
      <c r="Z253" s="79"/>
      <c r="AA253" s="79" t="s">
        <v>109</v>
      </c>
      <c r="AB253" s="80">
        <v>2.2845</v>
      </c>
      <c r="AC253" s="78">
        <f t="shared" si="221"/>
        <v>226806.95726</v>
      </c>
      <c r="AD253" s="83">
        <f t="shared" si="219"/>
        <v>179442.90599999999</v>
      </c>
      <c r="AE253" s="77">
        <f t="shared" si="222"/>
        <v>640.16620000000012</v>
      </c>
      <c r="AF253" s="84"/>
    </row>
    <row r="254" spans="2:32" s="43" customFormat="1" hidden="1">
      <c r="B254" s="17" t="s">
        <v>9</v>
      </c>
      <c r="C254" s="40" t="s">
        <v>16</v>
      </c>
      <c r="D254" s="40" t="s">
        <v>106</v>
      </c>
      <c r="E254" s="91" t="s">
        <v>107</v>
      </c>
      <c r="F254" s="40" t="s">
        <v>51</v>
      </c>
      <c r="G254" s="40"/>
      <c r="H254" s="40" t="s">
        <v>52</v>
      </c>
      <c r="I254" s="57">
        <v>2023</v>
      </c>
      <c r="J254" s="57">
        <v>1</v>
      </c>
      <c r="K254" s="29">
        <v>45597</v>
      </c>
      <c r="L254" s="66"/>
      <c r="M254" s="68">
        <f t="shared" si="215"/>
        <v>2.85337</v>
      </c>
      <c r="N254" s="68">
        <f t="shared" si="223"/>
        <v>2.8874949999999999</v>
      </c>
      <c r="O254" s="68">
        <v>3.4125000000000003E-2</v>
      </c>
      <c r="P254" s="68">
        <f t="shared" si="217"/>
        <v>0</v>
      </c>
      <c r="Q254" s="100">
        <v>1</v>
      </c>
      <c r="R254" s="104">
        <f t="shared" si="195"/>
        <v>2.85337</v>
      </c>
      <c r="S254" s="73">
        <v>155183</v>
      </c>
      <c r="T254" s="77">
        <v>181083</v>
      </c>
      <c r="U254" s="78">
        <v>1092000</v>
      </c>
      <c r="V254" s="78">
        <f t="shared" si="220"/>
        <v>1085820.542625</v>
      </c>
      <c r="W254" s="40" t="s">
        <v>70</v>
      </c>
      <c r="X254" s="129" t="s">
        <v>108</v>
      </c>
      <c r="Y254" s="79">
        <v>8.15</v>
      </c>
      <c r="Z254" s="79"/>
      <c r="AA254" s="79" t="s">
        <v>109</v>
      </c>
      <c r="AB254" s="80">
        <v>2.2845</v>
      </c>
      <c r="AC254" s="78">
        <f t="shared" si="221"/>
        <v>448090.13658499997</v>
      </c>
      <c r="AD254" s="83">
        <f t="shared" si="219"/>
        <v>354515.56349999999</v>
      </c>
      <c r="AE254" s="77">
        <f t="shared" si="222"/>
        <v>1264.74145</v>
      </c>
      <c r="AF254" s="84"/>
    </row>
    <row r="255" spans="2:32" s="43" customFormat="1">
      <c r="B255" s="17" t="s">
        <v>9</v>
      </c>
      <c r="C255" s="40" t="s">
        <v>16</v>
      </c>
      <c r="D255" s="40" t="s">
        <v>110</v>
      </c>
      <c r="E255" s="40" t="s">
        <v>111</v>
      </c>
      <c r="F255" s="40" t="s">
        <v>51</v>
      </c>
      <c r="G255" s="40"/>
      <c r="H255" s="40" t="s">
        <v>52</v>
      </c>
      <c r="I255" s="57">
        <v>2025</v>
      </c>
      <c r="J255" s="57">
        <v>2</v>
      </c>
      <c r="K255" s="29">
        <v>45722</v>
      </c>
      <c r="L255" s="66"/>
      <c r="M255" s="68">
        <f t="shared" si="215"/>
        <v>0.83437000000000006</v>
      </c>
      <c r="N255" s="68">
        <f t="shared" si="223"/>
        <v>0.86280750000000006</v>
      </c>
      <c r="O255" s="68">
        <v>2.8437500000000001E-2</v>
      </c>
      <c r="P255" s="68"/>
      <c r="Q255" s="100">
        <v>1</v>
      </c>
      <c r="R255" s="104">
        <f t="shared" ref="R255" si="224">Q255*M255</f>
        <v>0.83437000000000006</v>
      </c>
      <c r="S255" s="73">
        <v>0</v>
      </c>
      <c r="T255" s="144">
        <f t="shared" ref="T255:T260" si="225">S255+T256</f>
        <v>7990282</v>
      </c>
      <c r="U255" s="136">
        <v>910000</v>
      </c>
      <c r="V255" s="136">
        <f t="shared" si="220"/>
        <v>682776.35562499997</v>
      </c>
      <c r="W255" s="40" t="s">
        <v>70</v>
      </c>
      <c r="X255" s="129" t="s">
        <v>71</v>
      </c>
      <c r="Y255" s="79">
        <v>3.8</v>
      </c>
      <c r="Z255" s="79"/>
      <c r="AA255" s="79" t="s">
        <v>55</v>
      </c>
      <c r="AB255" s="80">
        <v>0.26550000000000001</v>
      </c>
      <c r="AC255" s="78">
        <f t="shared" si="221"/>
        <v>0</v>
      </c>
      <c r="AD255" s="83">
        <f t="shared" si="219"/>
        <v>0</v>
      </c>
      <c r="AE255" s="77">
        <f t="shared" si="222"/>
        <v>0</v>
      </c>
      <c r="AF255" s="84"/>
    </row>
    <row r="256" spans="2:32" s="43" customFormat="1" hidden="1">
      <c r="B256" s="17" t="s">
        <v>9</v>
      </c>
      <c r="C256" s="40" t="s">
        <v>16</v>
      </c>
      <c r="D256" s="40" t="s">
        <v>110</v>
      </c>
      <c r="E256" s="40" t="s">
        <v>111</v>
      </c>
      <c r="F256" s="40" t="s">
        <v>51</v>
      </c>
      <c r="G256" s="40"/>
      <c r="H256" s="40" t="s">
        <v>52</v>
      </c>
      <c r="I256" s="57">
        <v>2025</v>
      </c>
      <c r="J256" s="57">
        <v>1</v>
      </c>
      <c r="K256" s="29">
        <v>45705</v>
      </c>
      <c r="L256" s="66"/>
      <c r="M256" s="68">
        <f t="shared" ref="M256" si="226">0.56887+AB256</f>
        <v>0.83437000000000006</v>
      </c>
      <c r="N256" s="68">
        <f t="shared" ref="N256" si="227">M256+O256</f>
        <v>0.86280750000000006</v>
      </c>
      <c r="O256" s="68">
        <v>2.8437500000000001E-2</v>
      </c>
      <c r="P256" s="68"/>
      <c r="Q256" s="100">
        <v>1</v>
      </c>
      <c r="R256" s="104">
        <f t="shared" si="195"/>
        <v>0.83437000000000006</v>
      </c>
      <c r="S256" s="73">
        <v>0</v>
      </c>
      <c r="T256" s="77">
        <f t="shared" si="225"/>
        <v>7990282</v>
      </c>
      <c r="U256" s="78">
        <v>910000</v>
      </c>
      <c r="V256" s="78">
        <f t="shared" ref="V256" si="228">U256-O256*T256</f>
        <v>682776.35562499997</v>
      </c>
      <c r="W256" s="40" t="s">
        <v>70</v>
      </c>
      <c r="X256" s="129" t="s">
        <v>71</v>
      </c>
      <c r="Y256" s="79">
        <v>3.8</v>
      </c>
      <c r="Z256" s="79"/>
      <c r="AA256" s="79" t="s">
        <v>55</v>
      </c>
      <c r="AB256" s="80">
        <v>0.26550000000000001</v>
      </c>
      <c r="AC256" s="78">
        <f t="shared" ref="AC256" si="229">N256*S256</f>
        <v>0</v>
      </c>
      <c r="AD256" s="83">
        <f t="shared" ref="AD256" si="230">AB256*S256</f>
        <v>0</v>
      </c>
      <c r="AE256" s="77">
        <f t="shared" ref="AE256" si="231">S256*Y256/1000</f>
        <v>0</v>
      </c>
      <c r="AF256" s="84"/>
    </row>
    <row r="257" spans="2:32" s="43" customFormat="1" hidden="1">
      <c r="B257" s="17" t="s">
        <v>9</v>
      </c>
      <c r="C257" s="40" t="s">
        <v>16</v>
      </c>
      <c r="D257" s="40" t="s">
        <v>110</v>
      </c>
      <c r="E257" s="40" t="s">
        <v>111</v>
      </c>
      <c r="F257" s="40" t="s">
        <v>51</v>
      </c>
      <c r="G257" s="40"/>
      <c r="H257" s="40" t="s">
        <v>52</v>
      </c>
      <c r="I257" s="57">
        <v>2024</v>
      </c>
      <c r="J257" s="57">
        <v>12</v>
      </c>
      <c r="K257" s="29">
        <v>45665</v>
      </c>
      <c r="L257" s="66"/>
      <c r="M257" s="68">
        <f t="shared" si="215"/>
        <v>0.83437000000000006</v>
      </c>
      <c r="N257" s="68">
        <f t="shared" si="223"/>
        <v>0.86280750000000006</v>
      </c>
      <c r="O257" s="68">
        <v>2.8437500000000001E-2</v>
      </c>
      <c r="P257" s="68"/>
      <c r="Q257" s="100">
        <v>1</v>
      </c>
      <c r="R257" s="104">
        <f t="shared" ref="R257" si="232">Q257*M257</f>
        <v>0.83437000000000006</v>
      </c>
      <c r="S257" s="73">
        <v>0</v>
      </c>
      <c r="T257" s="77">
        <f t="shared" si="225"/>
        <v>7990282</v>
      </c>
      <c r="U257" s="78">
        <v>910000</v>
      </c>
      <c r="V257" s="78">
        <f t="shared" si="220"/>
        <v>682776.35562499997</v>
      </c>
      <c r="W257" s="40" t="s">
        <v>70</v>
      </c>
      <c r="X257" s="129" t="s">
        <v>71</v>
      </c>
      <c r="Y257" s="79">
        <v>3.8</v>
      </c>
      <c r="Z257" s="79"/>
      <c r="AA257" s="79" t="s">
        <v>55</v>
      </c>
      <c r="AB257" s="80">
        <v>0.26550000000000001</v>
      </c>
      <c r="AC257" s="78">
        <f t="shared" si="221"/>
        <v>0</v>
      </c>
      <c r="AD257" s="83">
        <f t="shared" si="219"/>
        <v>0</v>
      </c>
      <c r="AE257" s="77">
        <f t="shared" si="222"/>
        <v>0</v>
      </c>
      <c r="AF257" s="84"/>
    </row>
    <row r="258" spans="2:32" s="43" customFormat="1" hidden="1">
      <c r="B258" s="17" t="s">
        <v>9</v>
      </c>
      <c r="C258" s="40" t="s">
        <v>16</v>
      </c>
      <c r="D258" s="40" t="s">
        <v>110</v>
      </c>
      <c r="E258" s="40" t="s">
        <v>111</v>
      </c>
      <c r="F258" s="40" t="s">
        <v>51</v>
      </c>
      <c r="G258" s="40"/>
      <c r="H258" s="40" t="s">
        <v>52</v>
      </c>
      <c r="I258" s="57">
        <v>2024</v>
      </c>
      <c r="J258" s="57">
        <v>11</v>
      </c>
      <c r="K258" s="29">
        <v>45629</v>
      </c>
      <c r="L258" s="66"/>
      <c r="M258" s="68">
        <f t="shared" ref="M258" si="233">0.56887+AB258</f>
        <v>0.83437000000000006</v>
      </c>
      <c r="N258" s="68">
        <f t="shared" ref="N258" si="234">M258+O258</f>
        <v>0.86280750000000006</v>
      </c>
      <c r="O258" s="68">
        <v>2.8437500000000001E-2</v>
      </c>
      <c r="P258" s="68"/>
      <c r="Q258" s="100">
        <v>1</v>
      </c>
      <c r="R258" s="104">
        <f t="shared" si="195"/>
        <v>0.83437000000000006</v>
      </c>
      <c r="S258" s="73">
        <v>0</v>
      </c>
      <c r="T258" s="77">
        <f t="shared" si="225"/>
        <v>7990282</v>
      </c>
      <c r="U258" s="78">
        <v>910000</v>
      </c>
      <c r="V258" s="78">
        <f t="shared" ref="V258" si="235">U258-O258*T258</f>
        <v>682776.35562499997</v>
      </c>
      <c r="W258" s="40" t="s">
        <v>70</v>
      </c>
      <c r="X258" s="129" t="s">
        <v>71</v>
      </c>
      <c r="Y258" s="79">
        <v>3.8</v>
      </c>
      <c r="Z258" s="79"/>
      <c r="AA258" s="79" t="s">
        <v>55</v>
      </c>
      <c r="AB258" s="80">
        <v>0.26550000000000001</v>
      </c>
      <c r="AC258" s="78">
        <f t="shared" ref="AC258" si="236">N258*S258</f>
        <v>0</v>
      </c>
      <c r="AD258" s="83">
        <f t="shared" ref="AD258" si="237">AB258*S258</f>
        <v>0</v>
      </c>
      <c r="AE258" s="77">
        <f t="shared" ref="AE258" si="238">S258*Y258/1000</f>
        <v>0</v>
      </c>
      <c r="AF258" s="84"/>
    </row>
    <row r="259" spans="2:32" s="43" customFormat="1" hidden="1">
      <c r="B259" s="17" t="s">
        <v>9</v>
      </c>
      <c r="C259" s="40" t="s">
        <v>16</v>
      </c>
      <c r="D259" s="40" t="s">
        <v>110</v>
      </c>
      <c r="E259" s="40" t="s">
        <v>111</v>
      </c>
      <c r="F259" s="40" t="s">
        <v>51</v>
      </c>
      <c r="G259" s="40"/>
      <c r="H259" s="40" t="s">
        <v>52</v>
      </c>
      <c r="I259" s="57">
        <v>2024</v>
      </c>
      <c r="J259" s="57">
        <v>10</v>
      </c>
      <c r="K259" s="29">
        <v>45618</v>
      </c>
      <c r="L259" s="66"/>
      <c r="M259" s="68">
        <f t="shared" si="215"/>
        <v>0.83437000000000006</v>
      </c>
      <c r="N259" s="68">
        <f t="shared" si="223"/>
        <v>0.86280750000000006</v>
      </c>
      <c r="O259" s="68">
        <v>2.8437500000000001E-2</v>
      </c>
      <c r="P259" s="68"/>
      <c r="Q259" s="100">
        <v>1</v>
      </c>
      <c r="R259" s="104">
        <f t="shared" si="195"/>
        <v>0.83437000000000006</v>
      </c>
      <c r="S259" s="73">
        <v>25480</v>
      </c>
      <c r="T259" s="77">
        <f t="shared" si="225"/>
        <v>7990282</v>
      </c>
      <c r="U259" s="78">
        <v>910000</v>
      </c>
      <c r="V259" s="78">
        <f t="shared" si="220"/>
        <v>682776.35562499997</v>
      </c>
      <c r="W259" s="40" t="s">
        <v>70</v>
      </c>
      <c r="X259" s="129" t="s">
        <v>71</v>
      </c>
      <c r="Y259" s="79">
        <v>3.8</v>
      </c>
      <c r="Z259" s="79"/>
      <c r="AA259" s="79" t="s">
        <v>55</v>
      </c>
      <c r="AB259" s="80">
        <v>0.26550000000000001</v>
      </c>
      <c r="AC259" s="78">
        <f t="shared" si="221"/>
        <v>21984.3351</v>
      </c>
      <c r="AD259" s="83">
        <f t="shared" si="219"/>
        <v>6764.9400000000005</v>
      </c>
      <c r="AE259" s="77">
        <f t="shared" si="222"/>
        <v>96.823999999999998</v>
      </c>
      <c r="AF259" s="84"/>
    </row>
    <row r="260" spans="2:32" s="43" customFormat="1" hidden="1">
      <c r="B260" s="17" t="s">
        <v>9</v>
      </c>
      <c r="C260" s="40" t="str">
        <f>VLOOKUP(B260,[1]Sheet1!$A:$B,2,0)</f>
        <v>MODI</v>
      </c>
      <c r="D260" s="40" t="s">
        <v>110</v>
      </c>
      <c r="E260" s="40" t="s">
        <v>111</v>
      </c>
      <c r="F260" s="40" t="s">
        <v>51</v>
      </c>
      <c r="G260" s="40"/>
      <c r="H260" s="40" t="s">
        <v>52</v>
      </c>
      <c r="I260" s="57">
        <v>2024</v>
      </c>
      <c r="J260" s="57">
        <v>9</v>
      </c>
      <c r="K260" s="29">
        <v>45618</v>
      </c>
      <c r="L260" s="66"/>
      <c r="M260" s="68">
        <f t="shared" si="215"/>
        <v>0.83437000000000006</v>
      </c>
      <c r="N260" s="68">
        <f t="shared" si="223"/>
        <v>0.86280750000000006</v>
      </c>
      <c r="O260" s="68">
        <v>2.8437500000000001E-2</v>
      </c>
      <c r="P260" s="68">
        <f t="shared" ref="P260:P279" si="239">L260*O260</f>
        <v>0</v>
      </c>
      <c r="Q260" s="100">
        <v>1</v>
      </c>
      <c r="R260" s="104">
        <f t="shared" si="195"/>
        <v>0.83437000000000006</v>
      </c>
      <c r="S260" s="73">
        <v>304520</v>
      </c>
      <c r="T260" s="77">
        <f t="shared" si="225"/>
        <v>7964802</v>
      </c>
      <c r="U260" s="78">
        <v>910000</v>
      </c>
      <c r="V260" s="78">
        <f>U260-O260*T260</f>
        <v>683500.94312499999</v>
      </c>
      <c r="W260" s="40" t="s">
        <v>70</v>
      </c>
      <c r="X260" s="129" t="s">
        <v>71</v>
      </c>
      <c r="Y260" s="79">
        <v>3.8</v>
      </c>
      <c r="Z260" s="79"/>
      <c r="AA260" s="79" t="s">
        <v>55</v>
      </c>
      <c r="AB260" s="80">
        <v>0.26550000000000001</v>
      </c>
      <c r="AC260" s="78">
        <f>N260*S260</f>
        <v>262742.13990000001</v>
      </c>
      <c r="AD260" s="83">
        <f t="shared" si="219"/>
        <v>80850.06</v>
      </c>
      <c r="AE260" s="77">
        <f>S260*Y260/1000</f>
        <v>1157.1759999999999</v>
      </c>
      <c r="AF260" s="84"/>
    </row>
    <row r="261" spans="2:32" s="43" customFormat="1" hidden="1">
      <c r="B261" s="17" t="s">
        <v>9</v>
      </c>
      <c r="C261" s="40" t="s">
        <v>16</v>
      </c>
      <c r="D261" s="40" t="s">
        <v>110</v>
      </c>
      <c r="E261" s="40" t="s">
        <v>111</v>
      </c>
      <c r="F261" s="40" t="s">
        <v>51</v>
      </c>
      <c r="G261" s="40"/>
      <c r="H261" s="40" t="s">
        <v>52</v>
      </c>
      <c r="I261" s="57">
        <v>2024</v>
      </c>
      <c r="J261" s="57">
        <v>8</v>
      </c>
      <c r="K261" s="29">
        <v>45618</v>
      </c>
      <c r="L261" s="66"/>
      <c r="M261" s="68">
        <f t="shared" si="215"/>
        <v>0.83437000000000006</v>
      </c>
      <c r="N261" s="68">
        <f t="shared" si="223"/>
        <v>0.86280750000000006</v>
      </c>
      <c r="O261" s="68">
        <v>2.8437500000000001E-2</v>
      </c>
      <c r="P261" s="68">
        <f t="shared" si="239"/>
        <v>0</v>
      </c>
      <c r="Q261" s="100">
        <v>1</v>
      </c>
      <c r="R261" s="104">
        <f t="shared" si="195"/>
        <v>0.83437000000000006</v>
      </c>
      <c r="S261" s="73">
        <v>189200</v>
      </c>
      <c r="T261" s="77">
        <f t="shared" ref="T261:T278" si="240">S261+T262</f>
        <v>7660282</v>
      </c>
      <c r="U261" s="78">
        <v>910000</v>
      </c>
      <c r="V261" s="78">
        <f t="shared" ref="V261:V279" si="241">U261-O261*T261</f>
        <v>692160.73062499997</v>
      </c>
      <c r="W261" s="40" t="s">
        <v>70</v>
      </c>
      <c r="X261" s="129" t="s">
        <v>71</v>
      </c>
      <c r="Y261" s="79">
        <v>3.8</v>
      </c>
      <c r="Z261" s="79"/>
      <c r="AA261" s="79" t="s">
        <v>55</v>
      </c>
      <c r="AB261" s="80">
        <v>0.26550000000000001</v>
      </c>
      <c r="AC261" s="78">
        <f t="shared" ref="AC261:AC284" si="242">N261*S261</f>
        <v>163243.179</v>
      </c>
      <c r="AD261" s="83">
        <f t="shared" si="219"/>
        <v>50232.600000000006</v>
      </c>
      <c r="AE261" s="77">
        <f t="shared" ref="AE261:AE284" si="243">S261*Y261/1000</f>
        <v>718.96</v>
      </c>
      <c r="AF261" s="84"/>
    </row>
    <row r="262" spans="2:32" s="43" customFormat="1" hidden="1">
      <c r="B262" s="17" t="s">
        <v>9</v>
      </c>
      <c r="C262" s="40" t="s">
        <v>16</v>
      </c>
      <c r="D262" s="40" t="s">
        <v>110</v>
      </c>
      <c r="E262" s="40" t="s">
        <v>111</v>
      </c>
      <c r="F262" s="40" t="s">
        <v>51</v>
      </c>
      <c r="G262" s="40"/>
      <c r="H262" s="40" t="s">
        <v>52</v>
      </c>
      <c r="I262" s="57">
        <v>2024</v>
      </c>
      <c r="J262" s="57">
        <v>6</v>
      </c>
      <c r="K262" s="29">
        <v>45618</v>
      </c>
      <c r="L262" s="66"/>
      <c r="M262" s="68">
        <f t="shared" si="215"/>
        <v>0.83437000000000006</v>
      </c>
      <c r="N262" s="68">
        <f t="shared" si="223"/>
        <v>0.86280750000000006</v>
      </c>
      <c r="O262" s="68">
        <v>2.8437500000000001E-2</v>
      </c>
      <c r="P262" s="68">
        <f t="shared" si="239"/>
        <v>0</v>
      </c>
      <c r="Q262" s="100">
        <v>1</v>
      </c>
      <c r="R262" s="104">
        <f t="shared" si="195"/>
        <v>0.83437000000000006</v>
      </c>
      <c r="S262" s="73">
        <v>214097</v>
      </c>
      <c r="T262" s="77">
        <f t="shared" si="240"/>
        <v>7471082</v>
      </c>
      <c r="U262" s="78">
        <v>910000</v>
      </c>
      <c r="V262" s="78">
        <f t="shared" si="241"/>
        <v>697541.10562499997</v>
      </c>
      <c r="W262" s="40" t="s">
        <v>70</v>
      </c>
      <c r="X262" s="129" t="s">
        <v>71</v>
      </c>
      <c r="Y262" s="79">
        <v>3.8</v>
      </c>
      <c r="Z262" s="79"/>
      <c r="AA262" s="79" t="s">
        <v>55</v>
      </c>
      <c r="AB262" s="80">
        <v>0.26550000000000001</v>
      </c>
      <c r="AC262" s="78">
        <f t="shared" si="242"/>
        <v>184724.49732750002</v>
      </c>
      <c r="AD262" s="83">
        <f t="shared" si="219"/>
        <v>56842.753500000006</v>
      </c>
      <c r="AE262" s="77">
        <f t="shared" si="243"/>
        <v>813.56859999999995</v>
      </c>
      <c r="AF262" s="84"/>
    </row>
    <row r="263" spans="2:32" s="43" customFormat="1" hidden="1">
      <c r="B263" s="17" t="s">
        <v>9</v>
      </c>
      <c r="C263" s="40" t="s">
        <v>16</v>
      </c>
      <c r="D263" s="40" t="s">
        <v>110</v>
      </c>
      <c r="E263" s="40" t="s">
        <v>111</v>
      </c>
      <c r="F263" s="40" t="s">
        <v>51</v>
      </c>
      <c r="G263" s="40"/>
      <c r="H263" s="40" t="s">
        <v>52</v>
      </c>
      <c r="I263" s="57">
        <v>2024</v>
      </c>
      <c r="J263" s="57">
        <v>5</v>
      </c>
      <c r="K263" s="29">
        <v>45618</v>
      </c>
      <c r="L263" s="66"/>
      <c r="M263" s="68">
        <f t="shared" si="215"/>
        <v>0.83437000000000006</v>
      </c>
      <c r="N263" s="68">
        <f t="shared" si="223"/>
        <v>0.86280750000000006</v>
      </c>
      <c r="O263" s="68">
        <v>2.8437500000000001E-2</v>
      </c>
      <c r="P263" s="68">
        <f t="shared" si="239"/>
        <v>0</v>
      </c>
      <c r="Q263" s="100">
        <v>1</v>
      </c>
      <c r="R263" s="104">
        <f t="shared" si="195"/>
        <v>0.83437000000000006</v>
      </c>
      <c r="S263" s="73">
        <v>547715</v>
      </c>
      <c r="T263" s="77">
        <f t="shared" si="240"/>
        <v>7256985</v>
      </c>
      <c r="U263" s="78">
        <v>910000</v>
      </c>
      <c r="V263" s="78">
        <f t="shared" si="241"/>
        <v>703629.48906249995</v>
      </c>
      <c r="W263" s="40" t="s">
        <v>70</v>
      </c>
      <c r="X263" s="129" t="s">
        <v>71</v>
      </c>
      <c r="Y263" s="79">
        <v>3.8</v>
      </c>
      <c r="Z263" s="79"/>
      <c r="AA263" s="79" t="s">
        <v>55</v>
      </c>
      <c r="AB263" s="80">
        <v>0.26550000000000001</v>
      </c>
      <c r="AC263" s="78">
        <f t="shared" si="242"/>
        <v>472572.60986250004</v>
      </c>
      <c r="AD263" s="83">
        <f t="shared" si="219"/>
        <v>145418.33250000002</v>
      </c>
      <c r="AE263" s="77">
        <f t="shared" si="243"/>
        <v>2081.317</v>
      </c>
      <c r="AF263" s="84"/>
    </row>
    <row r="264" spans="2:32" s="43" customFormat="1" hidden="1">
      <c r="B264" s="17" t="s">
        <v>9</v>
      </c>
      <c r="C264" s="40" t="s">
        <v>16</v>
      </c>
      <c r="D264" s="40" t="s">
        <v>110</v>
      </c>
      <c r="E264" s="40" t="s">
        <v>111</v>
      </c>
      <c r="F264" s="40" t="s">
        <v>51</v>
      </c>
      <c r="G264" s="40"/>
      <c r="H264" s="40" t="s">
        <v>52</v>
      </c>
      <c r="I264" s="57">
        <v>2024</v>
      </c>
      <c r="J264" s="57">
        <v>4</v>
      </c>
      <c r="K264" s="29">
        <v>45618</v>
      </c>
      <c r="L264" s="66"/>
      <c r="M264" s="68">
        <f t="shared" si="215"/>
        <v>0.83437000000000006</v>
      </c>
      <c r="N264" s="68">
        <f t="shared" si="223"/>
        <v>0.86280750000000006</v>
      </c>
      <c r="O264" s="68">
        <v>2.8437500000000001E-2</v>
      </c>
      <c r="P264" s="68">
        <f t="shared" si="239"/>
        <v>0</v>
      </c>
      <c r="Q264" s="100">
        <v>1</v>
      </c>
      <c r="R264" s="104">
        <f t="shared" si="195"/>
        <v>0.83437000000000006</v>
      </c>
      <c r="S264" s="73">
        <v>670334</v>
      </c>
      <c r="T264" s="77">
        <f t="shared" si="240"/>
        <v>6709270</v>
      </c>
      <c r="U264" s="78">
        <v>910000</v>
      </c>
      <c r="V264" s="78">
        <f t="shared" si="241"/>
        <v>719205.13437500002</v>
      </c>
      <c r="W264" s="40" t="s">
        <v>70</v>
      </c>
      <c r="X264" s="129" t="s">
        <v>71</v>
      </c>
      <c r="Y264" s="79">
        <v>3.8</v>
      </c>
      <c r="Z264" s="79"/>
      <c r="AA264" s="79" t="s">
        <v>55</v>
      </c>
      <c r="AB264" s="80">
        <v>0.26550000000000001</v>
      </c>
      <c r="AC264" s="78">
        <f t="shared" si="242"/>
        <v>578369.20270500006</v>
      </c>
      <c r="AD264" s="83">
        <f t="shared" si="219"/>
        <v>177973.677</v>
      </c>
      <c r="AE264" s="77">
        <f t="shared" si="243"/>
        <v>2547.2691999999997</v>
      </c>
      <c r="AF264" s="84"/>
    </row>
    <row r="265" spans="2:32" s="43" customFormat="1" hidden="1">
      <c r="B265" s="17" t="s">
        <v>9</v>
      </c>
      <c r="C265" s="40" t="s">
        <v>16</v>
      </c>
      <c r="D265" s="40" t="s">
        <v>110</v>
      </c>
      <c r="E265" s="40" t="s">
        <v>111</v>
      </c>
      <c r="F265" s="40" t="s">
        <v>51</v>
      </c>
      <c r="G265" s="40"/>
      <c r="H265" s="40" t="s">
        <v>52</v>
      </c>
      <c r="I265" s="57">
        <v>2024</v>
      </c>
      <c r="J265" s="57">
        <v>3</v>
      </c>
      <c r="K265" s="29">
        <v>45618</v>
      </c>
      <c r="L265" s="66"/>
      <c r="M265" s="68">
        <f t="shared" si="215"/>
        <v>0.83437000000000006</v>
      </c>
      <c r="N265" s="68">
        <f t="shared" si="223"/>
        <v>0.86280750000000006</v>
      </c>
      <c r="O265" s="68">
        <v>2.8437500000000001E-2</v>
      </c>
      <c r="P265" s="68">
        <f t="shared" si="239"/>
        <v>0</v>
      </c>
      <c r="Q265" s="100">
        <v>1</v>
      </c>
      <c r="R265" s="104">
        <f t="shared" si="195"/>
        <v>0.83437000000000006</v>
      </c>
      <c r="S265" s="73">
        <v>725999</v>
      </c>
      <c r="T265" s="77">
        <f t="shared" si="240"/>
        <v>6038936</v>
      </c>
      <c r="U265" s="78">
        <v>910000</v>
      </c>
      <c r="V265" s="78">
        <f t="shared" si="241"/>
        <v>738267.75750000007</v>
      </c>
      <c r="W265" s="40" t="s">
        <v>70</v>
      </c>
      <c r="X265" s="129" t="s">
        <v>71</v>
      </c>
      <c r="Y265" s="79">
        <v>3.8</v>
      </c>
      <c r="Z265" s="79"/>
      <c r="AA265" s="79" t="s">
        <v>55</v>
      </c>
      <c r="AB265" s="80">
        <v>0.26550000000000001</v>
      </c>
      <c r="AC265" s="78">
        <f t="shared" si="242"/>
        <v>626397.38219250005</v>
      </c>
      <c r="AD265" s="83">
        <f t="shared" si="219"/>
        <v>192752.73450000002</v>
      </c>
      <c r="AE265" s="77">
        <f t="shared" si="243"/>
        <v>2758.7961999999998</v>
      </c>
      <c r="AF265" s="84"/>
    </row>
    <row r="266" spans="2:32" s="43" customFormat="1" hidden="1">
      <c r="B266" s="17" t="s">
        <v>9</v>
      </c>
      <c r="C266" s="40" t="s">
        <v>16</v>
      </c>
      <c r="D266" s="40" t="s">
        <v>110</v>
      </c>
      <c r="E266" s="40" t="s">
        <v>111</v>
      </c>
      <c r="F266" s="40" t="s">
        <v>51</v>
      </c>
      <c r="G266" s="40"/>
      <c r="H266" s="40" t="s">
        <v>52</v>
      </c>
      <c r="I266" s="57">
        <v>2024</v>
      </c>
      <c r="J266" s="57">
        <v>2</v>
      </c>
      <c r="K266" s="29">
        <v>45618</v>
      </c>
      <c r="L266" s="66"/>
      <c r="M266" s="68">
        <f t="shared" si="215"/>
        <v>0.83437000000000006</v>
      </c>
      <c r="N266" s="68">
        <f t="shared" si="223"/>
        <v>0.86280750000000006</v>
      </c>
      <c r="O266" s="68">
        <v>2.8437500000000001E-2</v>
      </c>
      <c r="P266" s="68">
        <f t="shared" si="239"/>
        <v>0</v>
      </c>
      <c r="Q266" s="100">
        <v>1</v>
      </c>
      <c r="R266" s="104">
        <f t="shared" si="195"/>
        <v>0.83437000000000006</v>
      </c>
      <c r="S266" s="73">
        <v>65200</v>
      </c>
      <c r="T266" s="77">
        <f t="shared" si="240"/>
        <v>5312937</v>
      </c>
      <c r="U266" s="78">
        <v>910000</v>
      </c>
      <c r="V266" s="78">
        <f t="shared" si="241"/>
        <v>758913.35406249994</v>
      </c>
      <c r="W266" s="40" t="s">
        <v>70</v>
      </c>
      <c r="X266" s="129" t="s">
        <v>71</v>
      </c>
      <c r="Y266" s="79">
        <v>3.8</v>
      </c>
      <c r="Z266" s="79"/>
      <c r="AA266" s="79" t="s">
        <v>55</v>
      </c>
      <c r="AB266" s="80">
        <v>0.26550000000000001</v>
      </c>
      <c r="AC266" s="78">
        <f t="shared" si="242"/>
        <v>56255.049000000006</v>
      </c>
      <c r="AD266" s="83">
        <f t="shared" si="219"/>
        <v>17310.600000000002</v>
      </c>
      <c r="AE266" s="77">
        <f t="shared" si="243"/>
        <v>247.76</v>
      </c>
      <c r="AF266" s="84"/>
    </row>
    <row r="267" spans="2:32" s="43" customFormat="1" hidden="1">
      <c r="B267" s="17" t="s">
        <v>9</v>
      </c>
      <c r="C267" s="40" t="s">
        <v>16</v>
      </c>
      <c r="D267" s="40" t="s">
        <v>110</v>
      </c>
      <c r="E267" s="40" t="s">
        <v>111</v>
      </c>
      <c r="F267" s="40" t="s">
        <v>51</v>
      </c>
      <c r="G267" s="40"/>
      <c r="H267" s="40" t="s">
        <v>52</v>
      </c>
      <c r="I267" s="57">
        <v>2024</v>
      </c>
      <c r="J267" s="57">
        <v>1</v>
      </c>
      <c r="K267" s="29">
        <v>45618</v>
      </c>
      <c r="L267" s="66"/>
      <c r="M267" s="68">
        <f t="shared" si="215"/>
        <v>0.83437000000000006</v>
      </c>
      <c r="N267" s="68">
        <f t="shared" si="223"/>
        <v>0.86280750000000006</v>
      </c>
      <c r="O267" s="68">
        <v>2.8437500000000001E-2</v>
      </c>
      <c r="P267" s="68">
        <f t="shared" si="239"/>
        <v>0</v>
      </c>
      <c r="Q267" s="100">
        <v>1</v>
      </c>
      <c r="R267" s="104">
        <f t="shared" si="195"/>
        <v>0.83437000000000006</v>
      </c>
      <c r="S267" s="73">
        <v>236135</v>
      </c>
      <c r="T267" s="77">
        <f t="shared" si="240"/>
        <v>5247737</v>
      </c>
      <c r="U267" s="78">
        <v>910000</v>
      </c>
      <c r="V267" s="78">
        <f t="shared" si="241"/>
        <v>760767.47906249994</v>
      </c>
      <c r="W267" s="40" t="s">
        <v>70</v>
      </c>
      <c r="X267" s="129" t="s">
        <v>71</v>
      </c>
      <c r="Y267" s="79">
        <v>3.8</v>
      </c>
      <c r="Z267" s="79"/>
      <c r="AA267" s="79" t="s">
        <v>55</v>
      </c>
      <c r="AB267" s="80">
        <v>0.26550000000000001</v>
      </c>
      <c r="AC267" s="78">
        <f t="shared" si="242"/>
        <v>203739.04901250001</v>
      </c>
      <c r="AD267" s="83">
        <f t="shared" si="219"/>
        <v>62693.842500000006</v>
      </c>
      <c r="AE267" s="77">
        <f t="shared" si="243"/>
        <v>897.31299999999999</v>
      </c>
      <c r="AF267" s="84"/>
    </row>
    <row r="268" spans="2:32" s="43" customFormat="1" hidden="1">
      <c r="B268" s="17" t="s">
        <v>9</v>
      </c>
      <c r="C268" s="40" t="s">
        <v>16</v>
      </c>
      <c r="D268" s="40" t="s">
        <v>110</v>
      </c>
      <c r="E268" s="40" t="s">
        <v>111</v>
      </c>
      <c r="F268" s="40" t="s">
        <v>51</v>
      </c>
      <c r="G268" s="40"/>
      <c r="H268" s="40" t="s">
        <v>52</v>
      </c>
      <c r="I268" s="57">
        <v>2023</v>
      </c>
      <c r="J268" s="57">
        <v>12</v>
      </c>
      <c r="K268" s="29">
        <v>45618</v>
      </c>
      <c r="L268" s="66"/>
      <c r="M268" s="68">
        <f t="shared" si="215"/>
        <v>0.83437000000000006</v>
      </c>
      <c r="N268" s="68">
        <f t="shared" si="223"/>
        <v>0.86280750000000006</v>
      </c>
      <c r="O268" s="68">
        <v>2.8437500000000001E-2</v>
      </c>
      <c r="P268" s="68">
        <f t="shared" si="239"/>
        <v>0</v>
      </c>
      <c r="Q268" s="100">
        <v>1</v>
      </c>
      <c r="R268" s="104">
        <f t="shared" si="195"/>
        <v>0.83437000000000006</v>
      </c>
      <c r="S268" s="73">
        <v>131310</v>
      </c>
      <c r="T268" s="77">
        <f t="shared" si="240"/>
        <v>5011602</v>
      </c>
      <c r="U268" s="78">
        <v>910000</v>
      </c>
      <c r="V268" s="78">
        <f t="shared" si="241"/>
        <v>767482.56812499999</v>
      </c>
      <c r="W268" s="40" t="s">
        <v>70</v>
      </c>
      <c r="X268" s="129" t="s">
        <v>71</v>
      </c>
      <c r="Y268" s="79">
        <v>3.8</v>
      </c>
      <c r="Z268" s="79"/>
      <c r="AA268" s="79" t="s">
        <v>55</v>
      </c>
      <c r="AB268" s="80">
        <v>0.26550000000000001</v>
      </c>
      <c r="AC268" s="78">
        <f t="shared" si="242"/>
        <v>113295.252825</v>
      </c>
      <c r="AD268" s="83">
        <f t="shared" si="219"/>
        <v>34862.805</v>
      </c>
      <c r="AE268" s="77">
        <f t="shared" si="243"/>
        <v>498.97800000000001</v>
      </c>
      <c r="AF268" s="84"/>
    </row>
    <row r="269" spans="2:32" s="43" customFormat="1" hidden="1">
      <c r="B269" s="17" t="s">
        <v>9</v>
      </c>
      <c r="C269" s="40" t="s">
        <v>16</v>
      </c>
      <c r="D269" s="40" t="s">
        <v>110</v>
      </c>
      <c r="E269" s="40" t="s">
        <v>111</v>
      </c>
      <c r="F269" s="40" t="s">
        <v>51</v>
      </c>
      <c r="G269" s="40"/>
      <c r="H269" s="40" t="s">
        <v>52</v>
      </c>
      <c r="I269" s="57">
        <v>2023</v>
      </c>
      <c r="J269" s="57">
        <v>11</v>
      </c>
      <c r="K269" s="29">
        <v>45618</v>
      </c>
      <c r="L269" s="66"/>
      <c r="M269" s="68">
        <f t="shared" si="215"/>
        <v>0.83437000000000006</v>
      </c>
      <c r="N269" s="68">
        <f t="shared" si="223"/>
        <v>0.86280750000000006</v>
      </c>
      <c r="O269" s="68">
        <v>2.8437500000000001E-2</v>
      </c>
      <c r="P269" s="68">
        <f t="shared" si="239"/>
        <v>0</v>
      </c>
      <c r="Q269" s="100">
        <v>1</v>
      </c>
      <c r="R269" s="104">
        <f t="shared" si="195"/>
        <v>0.83437000000000006</v>
      </c>
      <c r="S269" s="73">
        <v>383265</v>
      </c>
      <c r="T269" s="77">
        <f t="shared" si="240"/>
        <v>4880292</v>
      </c>
      <c r="U269" s="78">
        <v>910000</v>
      </c>
      <c r="V269" s="78">
        <f t="shared" si="241"/>
        <v>771216.69625000004</v>
      </c>
      <c r="W269" s="40" t="s">
        <v>70</v>
      </c>
      <c r="X269" s="129" t="s">
        <v>71</v>
      </c>
      <c r="Y269" s="79">
        <v>3.8</v>
      </c>
      <c r="Z269" s="79"/>
      <c r="AA269" s="79" t="s">
        <v>55</v>
      </c>
      <c r="AB269" s="80">
        <v>0.26550000000000001</v>
      </c>
      <c r="AC269" s="78">
        <f t="shared" si="242"/>
        <v>330683.91648750001</v>
      </c>
      <c r="AD269" s="83">
        <f t="shared" si="219"/>
        <v>101756.8575</v>
      </c>
      <c r="AE269" s="77">
        <f t="shared" si="243"/>
        <v>1456.4069999999999</v>
      </c>
      <c r="AF269" s="84"/>
    </row>
    <row r="270" spans="2:32" s="43" customFormat="1" hidden="1">
      <c r="B270" s="17" t="s">
        <v>9</v>
      </c>
      <c r="C270" s="40" t="s">
        <v>16</v>
      </c>
      <c r="D270" s="40" t="s">
        <v>110</v>
      </c>
      <c r="E270" s="40" t="s">
        <v>111</v>
      </c>
      <c r="F270" s="40" t="s">
        <v>51</v>
      </c>
      <c r="G270" s="40"/>
      <c r="H270" s="40" t="s">
        <v>52</v>
      </c>
      <c r="I270" s="57">
        <v>2023</v>
      </c>
      <c r="J270" s="57">
        <v>10</v>
      </c>
      <c r="K270" s="29">
        <v>45618</v>
      </c>
      <c r="L270" s="66"/>
      <c r="M270" s="68">
        <f t="shared" si="215"/>
        <v>0.83437000000000006</v>
      </c>
      <c r="N270" s="68">
        <f t="shared" si="223"/>
        <v>0.86280750000000006</v>
      </c>
      <c r="O270" s="68">
        <v>2.8437500000000001E-2</v>
      </c>
      <c r="P270" s="68">
        <f t="shared" si="239"/>
        <v>0</v>
      </c>
      <c r="Q270" s="100">
        <v>1</v>
      </c>
      <c r="R270" s="104">
        <f t="shared" si="195"/>
        <v>0.83437000000000006</v>
      </c>
      <c r="S270" s="73">
        <v>255821</v>
      </c>
      <c r="T270" s="77">
        <f t="shared" si="240"/>
        <v>4497027</v>
      </c>
      <c r="U270" s="78">
        <v>910000</v>
      </c>
      <c r="V270" s="78">
        <f t="shared" si="241"/>
        <v>782115.79468749999</v>
      </c>
      <c r="W270" s="40" t="s">
        <v>70</v>
      </c>
      <c r="X270" s="129" t="s">
        <v>71</v>
      </c>
      <c r="Y270" s="79">
        <v>3.8</v>
      </c>
      <c r="Z270" s="79"/>
      <c r="AA270" s="79" t="s">
        <v>55</v>
      </c>
      <c r="AB270" s="80">
        <v>0.26550000000000001</v>
      </c>
      <c r="AC270" s="78">
        <f t="shared" si="242"/>
        <v>220724.27745750002</v>
      </c>
      <c r="AD270" s="83">
        <f t="shared" si="219"/>
        <v>67920.4755</v>
      </c>
      <c r="AE270" s="77">
        <f t="shared" si="243"/>
        <v>972.11979999999994</v>
      </c>
      <c r="AF270" s="84"/>
    </row>
    <row r="271" spans="2:32" s="43" customFormat="1" hidden="1">
      <c r="B271" s="17" t="s">
        <v>9</v>
      </c>
      <c r="C271" s="40" t="s">
        <v>16</v>
      </c>
      <c r="D271" s="40" t="s">
        <v>110</v>
      </c>
      <c r="E271" s="40" t="s">
        <v>111</v>
      </c>
      <c r="F271" s="40" t="s">
        <v>51</v>
      </c>
      <c r="G271" s="40"/>
      <c r="H271" s="40" t="s">
        <v>52</v>
      </c>
      <c r="I271" s="57">
        <v>2023</v>
      </c>
      <c r="J271" s="57">
        <v>9</v>
      </c>
      <c r="K271" s="29">
        <v>45618</v>
      </c>
      <c r="L271" s="66"/>
      <c r="M271" s="68">
        <f t="shared" si="215"/>
        <v>0.83437000000000006</v>
      </c>
      <c r="N271" s="68">
        <f t="shared" si="223"/>
        <v>0.86280750000000006</v>
      </c>
      <c r="O271" s="68">
        <v>2.8437500000000001E-2</v>
      </c>
      <c r="P271" s="68">
        <f t="shared" si="239"/>
        <v>0</v>
      </c>
      <c r="Q271" s="100">
        <v>1</v>
      </c>
      <c r="R271" s="104">
        <f t="shared" si="195"/>
        <v>0.83437000000000006</v>
      </c>
      <c r="S271" s="73">
        <v>641083</v>
      </c>
      <c r="T271" s="77">
        <f t="shared" si="240"/>
        <v>4241206</v>
      </c>
      <c r="U271" s="78">
        <v>910000</v>
      </c>
      <c r="V271" s="78">
        <f t="shared" si="241"/>
        <v>789390.70437499997</v>
      </c>
      <c r="W271" s="40" t="s">
        <v>70</v>
      </c>
      <c r="X271" s="129" t="s">
        <v>71</v>
      </c>
      <c r="Y271" s="79">
        <v>3.8</v>
      </c>
      <c r="Z271" s="79"/>
      <c r="AA271" s="79" t="s">
        <v>55</v>
      </c>
      <c r="AB271" s="80">
        <v>0.26550000000000001</v>
      </c>
      <c r="AC271" s="78">
        <f t="shared" si="242"/>
        <v>553131.22052249999</v>
      </c>
      <c r="AD271" s="83">
        <f t="shared" si="219"/>
        <v>170207.53650000002</v>
      </c>
      <c r="AE271" s="77">
        <f t="shared" si="243"/>
        <v>2436.1153999999997</v>
      </c>
      <c r="AF271" s="84"/>
    </row>
    <row r="272" spans="2:32" s="43" customFormat="1" hidden="1">
      <c r="B272" s="17" t="s">
        <v>9</v>
      </c>
      <c r="C272" s="40" t="s">
        <v>16</v>
      </c>
      <c r="D272" s="40" t="s">
        <v>110</v>
      </c>
      <c r="E272" s="40" t="s">
        <v>111</v>
      </c>
      <c r="F272" s="40" t="s">
        <v>51</v>
      </c>
      <c r="G272" s="40"/>
      <c r="H272" s="40" t="s">
        <v>52</v>
      </c>
      <c r="I272" s="57">
        <v>2023</v>
      </c>
      <c r="J272" s="57">
        <v>8</v>
      </c>
      <c r="K272" s="29">
        <v>45618</v>
      </c>
      <c r="L272" s="66"/>
      <c r="M272" s="68">
        <f t="shared" si="215"/>
        <v>0.83437000000000006</v>
      </c>
      <c r="N272" s="68">
        <f t="shared" si="223"/>
        <v>0.86280750000000006</v>
      </c>
      <c r="O272" s="68">
        <v>2.8437500000000001E-2</v>
      </c>
      <c r="P272" s="68">
        <f t="shared" si="239"/>
        <v>0</v>
      </c>
      <c r="Q272" s="100">
        <v>1</v>
      </c>
      <c r="R272" s="104">
        <f t="shared" si="195"/>
        <v>0.83437000000000006</v>
      </c>
      <c r="S272" s="73">
        <v>396271</v>
      </c>
      <c r="T272" s="77">
        <f t="shared" si="240"/>
        <v>3600123</v>
      </c>
      <c r="U272" s="78">
        <v>910000</v>
      </c>
      <c r="V272" s="78">
        <f t="shared" si="241"/>
        <v>807621.50218750001</v>
      </c>
      <c r="W272" s="40" t="s">
        <v>70</v>
      </c>
      <c r="X272" s="129" t="s">
        <v>71</v>
      </c>
      <c r="Y272" s="79">
        <v>3.8</v>
      </c>
      <c r="Z272" s="79"/>
      <c r="AA272" s="79" t="s">
        <v>55</v>
      </c>
      <c r="AB272" s="80">
        <v>0.26550000000000001</v>
      </c>
      <c r="AC272" s="78">
        <f t="shared" si="242"/>
        <v>341905.59083250002</v>
      </c>
      <c r="AD272" s="83">
        <f t="shared" si="219"/>
        <v>105209.95050000001</v>
      </c>
      <c r="AE272" s="77">
        <f t="shared" si="243"/>
        <v>1505.8297999999998</v>
      </c>
      <c r="AF272" s="84"/>
    </row>
    <row r="273" spans="2:32" s="43" customFormat="1" hidden="1">
      <c r="B273" s="17" t="s">
        <v>9</v>
      </c>
      <c r="C273" s="40" t="s">
        <v>16</v>
      </c>
      <c r="D273" s="40" t="s">
        <v>110</v>
      </c>
      <c r="E273" s="40" t="s">
        <v>111</v>
      </c>
      <c r="F273" s="40" t="s">
        <v>51</v>
      </c>
      <c r="G273" s="40"/>
      <c r="H273" s="40" t="s">
        <v>52</v>
      </c>
      <c r="I273" s="57">
        <v>2023</v>
      </c>
      <c r="J273" s="57">
        <v>7</v>
      </c>
      <c r="K273" s="29">
        <v>45618</v>
      </c>
      <c r="L273" s="66"/>
      <c r="M273" s="68">
        <f t="shared" si="215"/>
        <v>0.83437000000000006</v>
      </c>
      <c r="N273" s="68">
        <f t="shared" si="223"/>
        <v>0.86280750000000006</v>
      </c>
      <c r="O273" s="68">
        <v>2.8437500000000001E-2</v>
      </c>
      <c r="P273" s="68">
        <f t="shared" si="239"/>
        <v>0</v>
      </c>
      <c r="Q273" s="100">
        <v>1</v>
      </c>
      <c r="R273" s="104">
        <f t="shared" si="195"/>
        <v>0.83437000000000006</v>
      </c>
      <c r="S273" s="73">
        <v>1153699</v>
      </c>
      <c r="T273" s="77">
        <f t="shared" si="240"/>
        <v>3203852</v>
      </c>
      <c r="U273" s="78">
        <v>910000</v>
      </c>
      <c r="V273" s="78">
        <f t="shared" si="241"/>
        <v>818890.45874999999</v>
      </c>
      <c r="W273" s="40" t="s">
        <v>70</v>
      </c>
      <c r="X273" s="129" t="s">
        <v>71</v>
      </c>
      <c r="Y273" s="79">
        <v>3.8</v>
      </c>
      <c r="Z273" s="79"/>
      <c r="AA273" s="79" t="s">
        <v>55</v>
      </c>
      <c r="AB273" s="80">
        <v>0.26550000000000001</v>
      </c>
      <c r="AC273" s="78">
        <f t="shared" si="242"/>
        <v>995420.14994250005</v>
      </c>
      <c r="AD273" s="83">
        <f t="shared" si="219"/>
        <v>306307.0845</v>
      </c>
      <c r="AE273" s="77">
        <f t="shared" si="243"/>
        <v>4384.0562</v>
      </c>
      <c r="AF273" s="84"/>
    </row>
    <row r="274" spans="2:32" s="43" customFormat="1" hidden="1">
      <c r="B274" s="17" t="s">
        <v>9</v>
      </c>
      <c r="C274" s="40" t="s">
        <v>16</v>
      </c>
      <c r="D274" s="40" t="s">
        <v>110</v>
      </c>
      <c r="E274" s="40" t="s">
        <v>111</v>
      </c>
      <c r="F274" s="40" t="s">
        <v>51</v>
      </c>
      <c r="G274" s="40"/>
      <c r="H274" s="40" t="s">
        <v>52</v>
      </c>
      <c r="I274" s="57">
        <v>2023</v>
      </c>
      <c r="J274" s="57">
        <v>6</v>
      </c>
      <c r="K274" s="29">
        <v>45618</v>
      </c>
      <c r="L274" s="66"/>
      <c r="M274" s="68">
        <f t="shared" si="215"/>
        <v>0.83437000000000006</v>
      </c>
      <c r="N274" s="68">
        <f t="shared" si="223"/>
        <v>0.86280750000000006</v>
      </c>
      <c r="O274" s="68">
        <v>2.8437500000000001E-2</v>
      </c>
      <c r="P274" s="68">
        <f t="shared" si="239"/>
        <v>0</v>
      </c>
      <c r="Q274" s="100">
        <v>1</v>
      </c>
      <c r="R274" s="104">
        <f t="shared" si="195"/>
        <v>0.83437000000000006</v>
      </c>
      <c r="S274" s="73">
        <v>152820</v>
      </c>
      <c r="T274" s="77">
        <f t="shared" si="240"/>
        <v>2050153</v>
      </c>
      <c r="U274" s="78">
        <v>910000</v>
      </c>
      <c r="V274" s="78">
        <f t="shared" si="241"/>
        <v>851698.77406249999</v>
      </c>
      <c r="W274" s="40" t="s">
        <v>70</v>
      </c>
      <c r="X274" s="129" t="s">
        <v>71</v>
      </c>
      <c r="Y274" s="79">
        <v>3.8</v>
      </c>
      <c r="Z274" s="79"/>
      <c r="AA274" s="79" t="s">
        <v>55</v>
      </c>
      <c r="AB274" s="80">
        <v>0.26550000000000001</v>
      </c>
      <c r="AC274" s="78">
        <f t="shared" si="242"/>
        <v>131854.24215000001</v>
      </c>
      <c r="AD274" s="83">
        <f t="shared" si="219"/>
        <v>40573.71</v>
      </c>
      <c r="AE274" s="77">
        <f t="shared" si="243"/>
        <v>580.71600000000001</v>
      </c>
      <c r="AF274" s="84"/>
    </row>
    <row r="275" spans="2:32" s="43" customFormat="1" hidden="1">
      <c r="B275" s="17" t="s">
        <v>9</v>
      </c>
      <c r="C275" s="40" t="s">
        <v>16</v>
      </c>
      <c r="D275" s="40" t="s">
        <v>110</v>
      </c>
      <c r="E275" s="40" t="s">
        <v>111</v>
      </c>
      <c r="F275" s="40" t="s">
        <v>51</v>
      </c>
      <c r="G275" s="40"/>
      <c r="H275" s="40" t="s">
        <v>52</v>
      </c>
      <c r="I275" s="57">
        <v>2023</v>
      </c>
      <c r="J275" s="57">
        <v>5</v>
      </c>
      <c r="K275" s="29">
        <v>45618</v>
      </c>
      <c r="L275" s="66"/>
      <c r="M275" s="68">
        <f t="shared" si="215"/>
        <v>0.83437000000000006</v>
      </c>
      <c r="N275" s="68">
        <f t="shared" si="223"/>
        <v>0.86280750000000006</v>
      </c>
      <c r="O275" s="68">
        <v>2.8437500000000001E-2</v>
      </c>
      <c r="P275" s="68">
        <f t="shared" si="239"/>
        <v>0</v>
      </c>
      <c r="Q275" s="100">
        <v>1</v>
      </c>
      <c r="R275" s="104">
        <f t="shared" si="195"/>
        <v>0.83437000000000006</v>
      </c>
      <c r="S275" s="73">
        <v>790894</v>
      </c>
      <c r="T275" s="77">
        <f t="shared" si="240"/>
        <v>1897333</v>
      </c>
      <c r="U275" s="78">
        <v>910000</v>
      </c>
      <c r="V275" s="78">
        <f t="shared" si="241"/>
        <v>856044.59281249996</v>
      </c>
      <c r="W275" s="40" t="s">
        <v>70</v>
      </c>
      <c r="X275" s="129" t="s">
        <v>71</v>
      </c>
      <c r="Y275" s="79">
        <v>3.8</v>
      </c>
      <c r="Z275" s="79"/>
      <c r="AA275" s="79" t="s">
        <v>55</v>
      </c>
      <c r="AB275" s="80">
        <v>0.26550000000000001</v>
      </c>
      <c r="AC275" s="78">
        <f t="shared" si="242"/>
        <v>682389.274905</v>
      </c>
      <c r="AD275" s="83">
        <f t="shared" si="219"/>
        <v>209982.35700000002</v>
      </c>
      <c r="AE275" s="77">
        <f t="shared" si="243"/>
        <v>3005.3971999999999</v>
      </c>
      <c r="AF275" s="84"/>
    </row>
    <row r="276" spans="2:32" s="43" customFormat="1" hidden="1">
      <c r="B276" s="17" t="s">
        <v>9</v>
      </c>
      <c r="C276" s="40" t="s">
        <v>16</v>
      </c>
      <c r="D276" s="40" t="s">
        <v>110</v>
      </c>
      <c r="E276" s="40" t="s">
        <v>111</v>
      </c>
      <c r="F276" s="40" t="s">
        <v>51</v>
      </c>
      <c r="G276" s="40"/>
      <c r="H276" s="40" t="s">
        <v>52</v>
      </c>
      <c r="I276" s="57">
        <v>2023</v>
      </c>
      <c r="J276" s="57">
        <v>4</v>
      </c>
      <c r="K276" s="29">
        <v>45618</v>
      </c>
      <c r="L276" s="66"/>
      <c r="M276" s="68">
        <f t="shared" si="215"/>
        <v>0.83437000000000006</v>
      </c>
      <c r="N276" s="68">
        <f t="shared" si="223"/>
        <v>0.86280750000000006</v>
      </c>
      <c r="O276" s="68">
        <v>2.8437500000000001E-2</v>
      </c>
      <c r="P276" s="68">
        <f t="shared" si="239"/>
        <v>0</v>
      </c>
      <c r="Q276" s="100">
        <v>1</v>
      </c>
      <c r="R276" s="104">
        <f t="shared" si="195"/>
        <v>0.83437000000000006</v>
      </c>
      <c r="S276" s="73">
        <v>239679</v>
      </c>
      <c r="T276" s="77">
        <f t="shared" si="240"/>
        <v>1106439</v>
      </c>
      <c r="U276" s="78">
        <v>910000</v>
      </c>
      <c r="V276" s="78">
        <f t="shared" si="241"/>
        <v>878535.64093750005</v>
      </c>
      <c r="W276" s="40" t="s">
        <v>70</v>
      </c>
      <c r="X276" s="129" t="s">
        <v>71</v>
      </c>
      <c r="Y276" s="79">
        <v>3.8</v>
      </c>
      <c r="Z276" s="79"/>
      <c r="AA276" s="79" t="s">
        <v>55</v>
      </c>
      <c r="AB276" s="80">
        <v>0.26550000000000001</v>
      </c>
      <c r="AC276" s="78">
        <f t="shared" si="242"/>
        <v>206796.83879250003</v>
      </c>
      <c r="AD276" s="83">
        <f t="shared" si="219"/>
        <v>63634.774500000007</v>
      </c>
      <c r="AE276" s="77">
        <f t="shared" si="243"/>
        <v>910.78019999999992</v>
      </c>
      <c r="AF276" s="84"/>
    </row>
    <row r="277" spans="2:32" s="43" customFormat="1" hidden="1">
      <c r="B277" s="17" t="s">
        <v>9</v>
      </c>
      <c r="C277" s="40" t="s">
        <v>16</v>
      </c>
      <c r="D277" s="40" t="s">
        <v>110</v>
      </c>
      <c r="E277" s="40" t="s">
        <v>111</v>
      </c>
      <c r="F277" s="40" t="s">
        <v>51</v>
      </c>
      <c r="G277" s="40"/>
      <c r="H277" s="40" t="s">
        <v>52</v>
      </c>
      <c r="I277" s="57">
        <v>2023</v>
      </c>
      <c r="J277" s="57">
        <v>3</v>
      </c>
      <c r="K277" s="29">
        <v>45618</v>
      </c>
      <c r="L277" s="66"/>
      <c r="M277" s="68">
        <f t="shared" si="215"/>
        <v>0.83437000000000006</v>
      </c>
      <c r="N277" s="68">
        <f t="shared" si="223"/>
        <v>0.86280750000000006</v>
      </c>
      <c r="O277" s="68">
        <v>2.8437500000000001E-2</v>
      </c>
      <c r="P277" s="68">
        <f t="shared" si="239"/>
        <v>0</v>
      </c>
      <c r="Q277" s="100">
        <v>1</v>
      </c>
      <c r="R277" s="104">
        <f t="shared" si="195"/>
        <v>0.83437000000000006</v>
      </c>
      <c r="S277" s="73">
        <v>614610</v>
      </c>
      <c r="T277" s="77">
        <f t="shared" si="240"/>
        <v>866760</v>
      </c>
      <c r="U277" s="78">
        <v>910000</v>
      </c>
      <c r="V277" s="78">
        <f t="shared" si="241"/>
        <v>885351.51249999995</v>
      </c>
      <c r="W277" s="40" t="s">
        <v>70</v>
      </c>
      <c r="X277" s="129" t="s">
        <v>71</v>
      </c>
      <c r="Y277" s="79">
        <v>3.8</v>
      </c>
      <c r="Z277" s="79"/>
      <c r="AA277" s="79" t="s">
        <v>55</v>
      </c>
      <c r="AB277" s="80">
        <v>0.26550000000000001</v>
      </c>
      <c r="AC277" s="78">
        <f t="shared" si="242"/>
        <v>530290.11757500004</v>
      </c>
      <c r="AD277" s="83">
        <f t="shared" si="219"/>
        <v>163178.95500000002</v>
      </c>
      <c r="AE277" s="77">
        <f t="shared" si="243"/>
        <v>2335.518</v>
      </c>
      <c r="AF277" s="84"/>
    </row>
    <row r="278" spans="2:32" s="43" customFormat="1" hidden="1">
      <c r="B278" s="17" t="s">
        <v>9</v>
      </c>
      <c r="C278" s="40" t="s">
        <v>16</v>
      </c>
      <c r="D278" s="40" t="s">
        <v>110</v>
      </c>
      <c r="E278" s="40" t="s">
        <v>111</v>
      </c>
      <c r="F278" s="40" t="s">
        <v>51</v>
      </c>
      <c r="G278" s="40"/>
      <c r="H278" s="40" t="s">
        <v>52</v>
      </c>
      <c r="I278" s="57">
        <v>2023</v>
      </c>
      <c r="J278" s="57">
        <v>2</v>
      </c>
      <c r="K278" s="29">
        <v>45618</v>
      </c>
      <c r="L278" s="66"/>
      <c r="M278" s="68">
        <f t="shared" si="215"/>
        <v>0.83437000000000006</v>
      </c>
      <c r="N278" s="68">
        <f t="shared" si="223"/>
        <v>0.86280750000000006</v>
      </c>
      <c r="O278" s="68">
        <v>2.8437500000000001E-2</v>
      </c>
      <c r="P278" s="68">
        <f t="shared" si="239"/>
        <v>0</v>
      </c>
      <c r="Q278" s="100">
        <v>1</v>
      </c>
      <c r="R278" s="104">
        <f t="shared" si="195"/>
        <v>0.83437000000000006</v>
      </c>
      <c r="S278" s="73">
        <v>152070</v>
      </c>
      <c r="T278" s="77">
        <f t="shared" si="240"/>
        <v>252150</v>
      </c>
      <c r="U278" s="78">
        <v>910000</v>
      </c>
      <c r="V278" s="78">
        <f t="shared" si="241"/>
        <v>902829.484375</v>
      </c>
      <c r="W278" s="40" t="s">
        <v>70</v>
      </c>
      <c r="X278" s="129" t="s">
        <v>71</v>
      </c>
      <c r="Y278" s="79">
        <v>3.8</v>
      </c>
      <c r="Z278" s="79"/>
      <c r="AA278" s="79" t="s">
        <v>55</v>
      </c>
      <c r="AB278" s="80">
        <v>0.26550000000000001</v>
      </c>
      <c r="AC278" s="78">
        <f t="shared" si="242"/>
        <v>131207.13652500001</v>
      </c>
      <c r="AD278" s="83">
        <f t="shared" si="219"/>
        <v>40374.584999999999</v>
      </c>
      <c r="AE278" s="77">
        <f t="shared" si="243"/>
        <v>577.86599999999999</v>
      </c>
      <c r="AF278" s="84"/>
    </row>
    <row r="279" spans="2:32" s="43" customFormat="1" hidden="1">
      <c r="B279" s="17" t="s">
        <v>9</v>
      </c>
      <c r="C279" s="40" t="s">
        <v>16</v>
      </c>
      <c r="D279" s="40" t="s">
        <v>110</v>
      </c>
      <c r="E279" s="40" t="s">
        <v>111</v>
      </c>
      <c r="F279" s="40" t="s">
        <v>51</v>
      </c>
      <c r="G279" s="40"/>
      <c r="H279" s="40" t="s">
        <v>52</v>
      </c>
      <c r="I279" s="57">
        <v>2023</v>
      </c>
      <c r="J279" s="57">
        <v>1</v>
      </c>
      <c r="K279" s="29">
        <v>45618</v>
      </c>
      <c r="L279" s="66"/>
      <c r="M279" s="68">
        <f t="shared" si="215"/>
        <v>0.83437000000000006</v>
      </c>
      <c r="N279" s="68">
        <f t="shared" si="223"/>
        <v>0.86280750000000006</v>
      </c>
      <c r="O279" s="68">
        <v>2.8437500000000001E-2</v>
      </c>
      <c r="P279" s="68">
        <f t="shared" si="239"/>
        <v>0</v>
      </c>
      <c r="Q279" s="100">
        <v>1</v>
      </c>
      <c r="R279" s="104">
        <f t="shared" si="195"/>
        <v>0.83437000000000006</v>
      </c>
      <c r="S279" s="73">
        <v>100080</v>
      </c>
      <c r="T279" s="77">
        <f>S279</f>
        <v>100080</v>
      </c>
      <c r="U279" s="78">
        <v>910000</v>
      </c>
      <c r="V279" s="78">
        <f t="shared" si="241"/>
        <v>907153.97499999998</v>
      </c>
      <c r="W279" s="40" t="s">
        <v>70</v>
      </c>
      <c r="X279" s="129" t="s">
        <v>71</v>
      </c>
      <c r="Y279" s="79">
        <v>3.8</v>
      </c>
      <c r="Z279" s="79"/>
      <c r="AA279" s="79" t="s">
        <v>55</v>
      </c>
      <c r="AB279" s="80">
        <v>0.26550000000000001</v>
      </c>
      <c r="AC279" s="78">
        <f t="shared" si="242"/>
        <v>86349.774600000004</v>
      </c>
      <c r="AD279" s="83">
        <f t="shared" si="219"/>
        <v>26571.24</v>
      </c>
      <c r="AE279" s="77">
        <f t="shared" si="243"/>
        <v>380.30399999999997</v>
      </c>
      <c r="AF279" s="84"/>
    </row>
    <row r="280" spans="2:32" s="43" customFormat="1">
      <c r="B280" s="17" t="s">
        <v>6</v>
      </c>
      <c r="C280" s="40" t="s">
        <v>14</v>
      </c>
      <c r="D280" s="40" t="s">
        <v>112</v>
      </c>
      <c r="E280" s="40" t="s">
        <v>113</v>
      </c>
      <c r="F280" s="40" t="s">
        <v>114</v>
      </c>
      <c r="G280" s="40"/>
      <c r="H280" s="40" t="s">
        <v>52</v>
      </c>
      <c r="I280" s="57">
        <v>2025</v>
      </c>
      <c r="J280" s="57">
        <v>2</v>
      </c>
      <c r="K280" s="29">
        <v>45722</v>
      </c>
      <c r="L280" s="66"/>
      <c r="M280" s="94">
        <f t="shared" ref="M280:M305" si="244">0.0372*7.15</f>
        <v>0.26597999999999999</v>
      </c>
      <c r="N280" s="94">
        <f t="shared" ref="N280:N305" si="245">0.0504*7.15</f>
        <v>0.36036000000000001</v>
      </c>
      <c r="O280" s="94">
        <f t="shared" ref="O280:O305" si="246">0.0132*7.15</f>
        <v>9.4380000000000006E-2</v>
      </c>
      <c r="P280" s="68"/>
      <c r="Q280" s="100">
        <v>1</v>
      </c>
      <c r="R280" s="104">
        <f t="shared" ref="R280" si="247">Q280*M280</f>
        <v>0.26597999999999999</v>
      </c>
      <c r="S280" s="73">
        <v>16993341</v>
      </c>
      <c r="T280" s="144">
        <f>T281+S280</f>
        <v>352423329</v>
      </c>
      <c r="U280" s="137">
        <f t="shared" ref="U280:U305" si="248">3332133.41871849*7.15</f>
        <v>23824753.943837203</v>
      </c>
      <c r="V280" s="136">
        <f>-1049002*7.15</f>
        <v>-7500364.3000000007</v>
      </c>
      <c r="W280" s="40" t="s">
        <v>78</v>
      </c>
      <c r="X280" s="129" t="s">
        <v>87</v>
      </c>
      <c r="Y280" s="79">
        <v>2.09</v>
      </c>
      <c r="Z280" s="79"/>
      <c r="AA280" s="79"/>
      <c r="AB280" s="80"/>
      <c r="AC280" s="95">
        <f t="shared" ref="AC280" si="249">N280*S280</f>
        <v>6123720.3627599999</v>
      </c>
      <c r="AD280" s="83"/>
      <c r="AE280" s="77">
        <f t="shared" si="243"/>
        <v>35516.082689999996</v>
      </c>
      <c r="AF280" s="84"/>
    </row>
    <row r="281" spans="2:32" s="43" customFormat="1" hidden="1">
      <c r="B281" s="17" t="s">
        <v>6</v>
      </c>
      <c r="C281" s="40" t="s">
        <v>14</v>
      </c>
      <c r="D281" s="40" t="s">
        <v>112</v>
      </c>
      <c r="E281" s="40" t="s">
        <v>113</v>
      </c>
      <c r="F281" s="40" t="s">
        <v>114</v>
      </c>
      <c r="G281" s="40"/>
      <c r="H281" s="40" t="s">
        <v>52</v>
      </c>
      <c r="I281" s="57">
        <v>2025</v>
      </c>
      <c r="J281" s="57">
        <v>1</v>
      </c>
      <c r="K281" s="29">
        <v>45705</v>
      </c>
      <c r="L281" s="66"/>
      <c r="M281" s="94">
        <f t="shared" si="244"/>
        <v>0.26597999999999999</v>
      </c>
      <c r="N281" s="94">
        <f t="shared" si="245"/>
        <v>0.36036000000000001</v>
      </c>
      <c r="O281" s="94">
        <f t="shared" si="246"/>
        <v>9.4380000000000006E-2</v>
      </c>
      <c r="P281" s="68"/>
      <c r="Q281" s="100">
        <v>1</v>
      </c>
      <c r="R281" s="104">
        <f t="shared" si="195"/>
        <v>0.26597999999999999</v>
      </c>
      <c r="S281" s="73">
        <v>11520601</v>
      </c>
      <c r="T281" s="77">
        <f>T282+S281</f>
        <v>335429988</v>
      </c>
      <c r="U281" s="95">
        <f t="shared" si="248"/>
        <v>23824753.943837203</v>
      </c>
      <c r="V281" s="78">
        <f>-824862.2076
*7.15</f>
        <v>-5897764.7843399998</v>
      </c>
      <c r="W281" s="40" t="s">
        <v>78</v>
      </c>
      <c r="X281" s="129" t="s">
        <v>87</v>
      </c>
      <c r="Y281" s="79">
        <v>2.09</v>
      </c>
      <c r="Z281" s="79"/>
      <c r="AA281" s="79"/>
      <c r="AB281" s="80"/>
      <c r="AC281" s="95">
        <f t="shared" si="242"/>
        <v>4151563.77636</v>
      </c>
      <c r="AD281" s="83"/>
      <c r="AE281" s="77">
        <f t="shared" ref="AE281" si="250">S281*Y281/1000</f>
        <v>24078.056089999998</v>
      </c>
      <c r="AF281" s="84"/>
    </row>
    <row r="282" spans="2:32" s="43" customFormat="1" hidden="1">
      <c r="B282" s="17" t="s">
        <v>6</v>
      </c>
      <c r="C282" s="40" t="s">
        <v>14</v>
      </c>
      <c r="D282" s="40" t="s">
        <v>112</v>
      </c>
      <c r="E282" s="40" t="s">
        <v>113</v>
      </c>
      <c r="F282" s="40" t="s">
        <v>114</v>
      </c>
      <c r="G282" s="40"/>
      <c r="H282" s="40" t="s">
        <v>52</v>
      </c>
      <c r="I282" s="57">
        <v>2024</v>
      </c>
      <c r="J282" s="57">
        <v>12</v>
      </c>
      <c r="K282" s="29">
        <v>45665</v>
      </c>
      <c r="L282" s="66"/>
      <c r="M282" s="94">
        <f t="shared" si="244"/>
        <v>0.26597999999999999</v>
      </c>
      <c r="N282" s="94">
        <f t="shared" si="245"/>
        <v>0.36036000000000001</v>
      </c>
      <c r="O282" s="94">
        <f t="shared" si="246"/>
        <v>9.4380000000000006E-2</v>
      </c>
      <c r="P282" s="68"/>
      <c r="Q282" s="100">
        <v>1</v>
      </c>
      <c r="R282" s="104">
        <f t="shared" ref="R282" si="251">Q282*M282</f>
        <v>0.26597999999999999</v>
      </c>
      <c r="S282" s="73">
        <v>14880934</v>
      </c>
      <c r="T282" s="77">
        <f>T283+S282</f>
        <v>323909387</v>
      </c>
      <c r="U282" s="95">
        <f t="shared" si="248"/>
        <v>23824753.943837203</v>
      </c>
      <c r="V282" s="78">
        <f>-672907*7.15</f>
        <v>-4811285.05</v>
      </c>
      <c r="W282" s="40" t="s">
        <v>78</v>
      </c>
      <c r="X282" s="129" t="s">
        <v>87</v>
      </c>
      <c r="Y282" s="79">
        <v>2.09</v>
      </c>
      <c r="Z282" s="79"/>
      <c r="AA282" s="79"/>
      <c r="AB282" s="80"/>
      <c r="AC282" s="95">
        <f t="shared" ref="AC282" si="252">N282*S282</f>
        <v>5362493.3762400001</v>
      </c>
      <c r="AD282" s="83"/>
      <c r="AE282" s="77">
        <f t="shared" si="243"/>
        <v>31101.15206</v>
      </c>
      <c r="AF282" s="84"/>
    </row>
    <row r="283" spans="2:32" s="43" customFormat="1" hidden="1">
      <c r="B283" s="17" t="s">
        <v>6</v>
      </c>
      <c r="C283" s="40" t="s">
        <v>14</v>
      </c>
      <c r="D283" s="40" t="s">
        <v>112</v>
      </c>
      <c r="E283" s="40" t="s">
        <v>113</v>
      </c>
      <c r="F283" s="40" t="s">
        <v>114</v>
      </c>
      <c r="G283" s="40"/>
      <c r="H283" s="40" t="s">
        <v>52</v>
      </c>
      <c r="I283" s="57">
        <v>2024</v>
      </c>
      <c r="J283" s="57">
        <v>11</v>
      </c>
      <c r="K283" s="29">
        <v>45629</v>
      </c>
      <c r="L283" s="66"/>
      <c r="M283" s="94">
        <f t="shared" si="244"/>
        <v>0.26597999999999999</v>
      </c>
      <c r="N283" s="94">
        <f t="shared" si="245"/>
        <v>0.36036000000000001</v>
      </c>
      <c r="O283" s="94">
        <f t="shared" si="246"/>
        <v>9.4380000000000006E-2</v>
      </c>
      <c r="P283" s="68"/>
      <c r="Q283" s="100">
        <v>1</v>
      </c>
      <c r="R283" s="104">
        <f t="shared" si="195"/>
        <v>0.26597999999999999</v>
      </c>
      <c r="S283" s="73">
        <v>10728000</v>
      </c>
      <c r="T283" s="77">
        <f>T284+S283</f>
        <v>309028453</v>
      </c>
      <c r="U283" s="95">
        <f t="shared" si="248"/>
        <v>23824753.943837203</v>
      </c>
      <c r="V283" s="78">
        <f>-476630.2805*7.15</f>
        <v>-3407906.5055750003</v>
      </c>
      <c r="W283" s="40" t="s">
        <v>78</v>
      </c>
      <c r="X283" s="129" t="s">
        <v>87</v>
      </c>
      <c r="Y283" s="79">
        <v>2.09</v>
      </c>
      <c r="Z283" s="79"/>
      <c r="AA283" s="79"/>
      <c r="AB283" s="80"/>
      <c r="AC283" s="95">
        <f t="shared" si="242"/>
        <v>3865942.08</v>
      </c>
      <c r="AD283" s="83"/>
      <c r="AE283" s="77">
        <f t="shared" si="243"/>
        <v>22421.52</v>
      </c>
      <c r="AF283" s="84"/>
    </row>
    <row r="284" spans="2:32" s="43" customFormat="1" hidden="1">
      <c r="B284" s="17" t="s">
        <v>6</v>
      </c>
      <c r="C284" s="40" t="s">
        <v>14</v>
      </c>
      <c r="D284" s="40" t="s">
        <v>112</v>
      </c>
      <c r="E284" s="91" t="s">
        <v>113</v>
      </c>
      <c r="F284" s="40" t="s">
        <v>114</v>
      </c>
      <c r="G284" s="40"/>
      <c r="H284" s="40" t="s">
        <v>52</v>
      </c>
      <c r="I284" s="57">
        <v>2024</v>
      </c>
      <c r="J284" s="57">
        <v>10</v>
      </c>
      <c r="K284" s="29">
        <v>45601</v>
      </c>
      <c r="L284" s="66"/>
      <c r="M284" s="94">
        <f t="shared" si="244"/>
        <v>0.26597999999999999</v>
      </c>
      <c r="N284" s="94">
        <f t="shared" si="245"/>
        <v>0.36036000000000001</v>
      </c>
      <c r="O284" s="94">
        <f t="shared" si="246"/>
        <v>9.4380000000000006E-2</v>
      </c>
      <c r="P284" s="68"/>
      <c r="Q284" s="100">
        <v>1</v>
      </c>
      <c r="R284" s="104">
        <f t="shared" si="195"/>
        <v>0.26597999999999999</v>
      </c>
      <c r="S284" s="73">
        <v>11736000</v>
      </c>
      <c r="T284" s="77">
        <f>S284+T285</f>
        <v>298300453</v>
      </c>
      <c r="U284" s="95">
        <f t="shared" si="248"/>
        <v>23824753.943837203</v>
      </c>
      <c r="V284" s="95">
        <f>-335129.715661121*7.15</f>
        <v>-2396177.4669770151</v>
      </c>
      <c r="W284" s="40" t="s">
        <v>78</v>
      </c>
      <c r="X284" s="129" t="s">
        <v>87</v>
      </c>
      <c r="Y284" s="79">
        <v>2.09</v>
      </c>
      <c r="Z284" s="79"/>
      <c r="AA284" s="79"/>
      <c r="AB284" s="80"/>
      <c r="AC284" s="95">
        <f t="shared" si="242"/>
        <v>4229184.96</v>
      </c>
      <c r="AD284" s="83"/>
      <c r="AE284" s="77">
        <f t="shared" si="243"/>
        <v>24528.240000000002</v>
      </c>
      <c r="AF284" s="84"/>
    </row>
    <row r="285" spans="2:32" s="43" customFormat="1" hidden="1">
      <c r="B285" s="17" t="s">
        <v>6</v>
      </c>
      <c r="C285" s="40" t="s">
        <v>14</v>
      </c>
      <c r="D285" s="40" t="s">
        <v>112</v>
      </c>
      <c r="E285" s="91" t="s">
        <v>113</v>
      </c>
      <c r="F285" s="40" t="s">
        <v>114</v>
      </c>
      <c r="G285" s="40"/>
      <c r="H285" s="40" t="s">
        <v>52</v>
      </c>
      <c r="I285" s="57">
        <v>2024</v>
      </c>
      <c r="J285" s="57">
        <v>9</v>
      </c>
      <c r="K285" s="29">
        <v>45597</v>
      </c>
      <c r="L285" s="66"/>
      <c r="M285" s="94">
        <f t="shared" si="244"/>
        <v>0.26597999999999999</v>
      </c>
      <c r="N285" s="94">
        <f t="shared" si="245"/>
        <v>0.36036000000000001</v>
      </c>
      <c r="O285" s="94">
        <f t="shared" si="246"/>
        <v>9.4380000000000006E-2</v>
      </c>
      <c r="P285" s="68">
        <f>L285*O285</f>
        <v>0</v>
      </c>
      <c r="Q285" s="100">
        <v>1</v>
      </c>
      <c r="R285" s="104">
        <f t="shared" si="195"/>
        <v>0.26597999999999999</v>
      </c>
      <c r="S285" s="73">
        <v>9250347</v>
      </c>
      <c r="T285" s="73">
        <v>286564453</v>
      </c>
      <c r="U285" s="95">
        <f t="shared" si="248"/>
        <v>23824753.943837203</v>
      </c>
      <c r="V285" s="95">
        <f>-180333.795776993*7.15</f>
        <v>-1289386.6398055002</v>
      </c>
      <c r="W285" s="40" t="s">
        <v>78</v>
      </c>
      <c r="X285" s="129" t="s">
        <v>87</v>
      </c>
      <c r="Y285" s="79">
        <v>2.09</v>
      </c>
      <c r="Z285" s="79"/>
      <c r="AA285" s="79"/>
      <c r="AB285" s="80"/>
      <c r="AC285" s="95">
        <f>N285*S285</f>
        <v>3333455.0449200002</v>
      </c>
      <c r="AD285" s="83"/>
      <c r="AE285" s="77">
        <f>S285*Y285/1000</f>
        <v>19333.22523</v>
      </c>
      <c r="AF285" s="88"/>
    </row>
    <row r="286" spans="2:32" s="43" customFormat="1" hidden="1">
      <c r="B286" s="17" t="s">
        <v>6</v>
      </c>
      <c r="C286" s="40" t="s">
        <v>14</v>
      </c>
      <c r="D286" s="40" t="s">
        <v>112</v>
      </c>
      <c r="E286" s="91" t="s">
        <v>113</v>
      </c>
      <c r="F286" s="40" t="s">
        <v>114</v>
      </c>
      <c r="G286" s="40"/>
      <c r="H286" s="40" t="s">
        <v>52</v>
      </c>
      <c r="I286" s="57">
        <v>2024</v>
      </c>
      <c r="J286" s="57">
        <v>8</v>
      </c>
      <c r="K286" s="29">
        <v>45597</v>
      </c>
      <c r="L286" s="66"/>
      <c r="M286" s="94">
        <f t="shared" si="244"/>
        <v>0.26597999999999999</v>
      </c>
      <c r="N286" s="94">
        <f t="shared" si="245"/>
        <v>0.36036000000000001</v>
      </c>
      <c r="O286" s="94">
        <f t="shared" si="246"/>
        <v>9.4380000000000006E-2</v>
      </c>
      <c r="P286" s="68"/>
      <c r="Q286" s="100">
        <v>1</v>
      </c>
      <c r="R286" s="104">
        <f t="shared" si="195"/>
        <v>0.26597999999999999</v>
      </c>
      <c r="S286" s="73">
        <v>10080000</v>
      </c>
      <c r="T286" s="73">
        <f t="shared" ref="T286:T304" si="253">S286+T287</f>
        <v>277314106</v>
      </c>
      <c r="U286" s="95">
        <f t="shared" si="248"/>
        <v>23824753.943837203</v>
      </c>
      <c r="V286" s="95">
        <f>-58323.2322875253*7.15</f>
        <v>-417011.11085580592</v>
      </c>
      <c r="W286" s="40" t="s">
        <v>78</v>
      </c>
      <c r="X286" s="129" t="s">
        <v>87</v>
      </c>
      <c r="Y286" s="79">
        <v>2.09</v>
      </c>
      <c r="Z286" s="79"/>
      <c r="AA286" s="79"/>
      <c r="AB286" s="80"/>
      <c r="AC286" s="95">
        <f t="shared" ref="AC286:AC310" si="254">N286*S286</f>
        <v>3632428.8000000003</v>
      </c>
      <c r="AD286" s="83"/>
      <c r="AE286" s="77">
        <f t="shared" ref="AE286:AE310" si="255">S286*Y286/1000</f>
        <v>21067.200000000001</v>
      </c>
      <c r="AF286" s="88"/>
    </row>
    <row r="287" spans="2:32" s="43" customFormat="1" hidden="1">
      <c r="B287" s="17" t="s">
        <v>6</v>
      </c>
      <c r="C287" s="40" t="s">
        <v>14</v>
      </c>
      <c r="D287" s="40" t="s">
        <v>112</v>
      </c>
      <c r="E287" s="91" t="s">
        <v>113</v>
      </c>
      <c r="F287" s="40" t="s">
        <v>114</v>
      </c>
      <c r="G287" s="40"/>
      <c r="H287" s="40" t="s">
        <v>52</v>
      </c>
      <c r="I287" s="57">
        <v>2024</v>
      </c>
      <c r="J287" s="57">
        <v>7</v>
      </c>
      <c r="K287" s="29">
        <v>45597</v>
      </c>
      <c r="L287" s="66"/>
      <c r="M287" s="94">
        <f t="shared" si="244"/>
        <v>0.26597999999999999</v>
      </c>
      <c r="N287" s="94">
        <f t="shared" si="245"/>
        <v>0.36036000000000001</v>
      </c>
      <c r="O287" s="94">
        <f t="shared" si="246"/>
        <v>9.4380000000000006E-2</v>
      </c>
      <c r="P287" s="68"/>
      <c r="Q287" s="100">
        <v>1</v>
      </c>
      <c r="R287" s="104">
        <f t="shared" si="195"/>
        <v>0.26597999999999999</v>
      </c>
      <c r="S287" s="73">
        <v>14505489</v>
      </c>
      <c r="T287" s="73">
        <f t="shared" si="253"/>
        <v>267234106</v>
      </c>
      <c r="U287" s="95">
        <f t="shared" si="248"/>
        <v>23824753.943837203</v>
      </c>
      <c r="V287" s="95">
        <f>74630.3185331989*7.15</f>
        <v>533606.77751237212</v>
      </c>
      <c r="W287" s="40" t="s">
        <v>78</v>
      </c>
      <c r="X287" s="129" t="s">
        <v>87</v>
      </c>
      <c r="Y287" s="79">
        <v>2.09</v>
      </c>
      <c r="Z287" s="79"/>
      <c r="AA287" s="79"/>
      <c r="AB287" s="80"/>
      <c r="AC287" s="95">
        <f t="shared" si="254"/>
        <v>5227198.0160400001</v>
      </c>
      <c r="AD287" s="83"/>
      <c r="AE287" s="77">
        <f t="shared" si="255"/>
        <v>30316.472009999998</v>
      </c>
      <c r="AF287" s="88"/>
    </row>
    <row r="288" spans="2:32" s="43" customFormat="1" hidden="1">
      <c r="B288" s="17" t="s">
        <v>6</v>
      </c>
      <c r="C288" s="40" t="s">
        <v>14</v>
      </c>
      <c r="D288" s="40" t="s">
        <v>112</v>
      </c>
      <c r="E288" s="91" t="s">
        <v>113</v>
      </c>
      <c r="F288" s="40" t="s">
        <v>114</v>
      </c>
      <c r="G288" s="40"/>
      <c r="H288" s="40" t="s">
        <v>52</v>
      </c>
      <c r="I288" s="57">
        <v>2024</v>
      </c>
      <c r="J288" s="57">
        <v>6</v>
      </c>
      <c r="K288" s="29">
        <v>45597</v>
      </c>
      <c r="L288" s="66"/>
      <c r="M288" s="94">
        <f t="shared" si="244"/>
        <v>0.26597999999999999</v>
      </c>
      <c r="N288" s="94">
        <f t="shared" si="245"/>
        <v>0.36036000000000001</v>
      </c>
      <c r="O288" s="94">
        <f t="shared" si="246"/>
        <v>9.4380000000000006E-2</v>
      </c>
      <c r="P288" s="68"/>
      <c r="Q288" s="100">
        <v>1</v>
      </c>
      <c r="R288" s="104">
        <f t="shared" si="195"/>
        <v>0.26597999999999999</v>
      </c>
      <c r="S288" s="73">
        <v>10800000</v>
      </c>
      <c r="T288" s="73">
        <f t="shared" si="253"/>
        <v>252728617</v>
      </c>
      <c r="U288" s="95">
        <f t="shared" si="248"/>
        <v>23824753.943837203</v>
      </c>
      <c r="V288" s="95">
        <f>265955.345213849*7.15</f>
        <v>1901580.7182790204</v>
      </c>
      <c r="W288" s="40" t="s">
        <v>78</v>
      </c>
      <c r="X288" s="129" t="s">
        <v>87</v>
      </c>
      <c r="Y288" s="79">
        <v>2.09</v>
      </c>
      <c r="Z288" s="79"/>
      <c r="AA288" s="79"/>
      <c r="AB288" s="80"/>
      <c r="AC288" s="95">
        <f t="shared" si="254"/>
        <v>3891888</v>
      </c>
      <c r="AD288" s="83"/>
      <c r="AE288" s="77">
        <f t="shared" si="255"/>
        <v>22572</v>
      </c>
      <c r="AF288" s="88"/>
    </row>
    <row r="289" spans="2:32" s="43" customFormat="1" hidden="1">
      <c r="B289" s="17" t="s">
        <v>6</v>
      </c>
      <c r="C289" s="40" t="s">
        <v>14</v>
      </c>
      <c r="D289" s="40" t="s">
        <v>112</v>
      </c>
      <c r="E289" s="91" t="s">
        <v>113</v>
      </c>
      <c r="F289" s="40" t="s">
        <v>114</v>
      </c>
      <c r="G289" s="40"/>
      <c r="H289" s="40" t="s">
        <v>52</v>
      </c>
      <c r="I289" s="57">
        <v>2024</v>
      </c>
      <c r="J289" s="57">
        <v>5</v>
      </c>
      <c r="K289" s="29">
        <v>45597</v>
      </c>
      <c r="L289" s="66"/>
      <c r="M289" s="94">
        <f t="shared" si="244"/>
        <v>0.26597999999999999</v>
      </c>
      <c r="N289" s="94">
        <f t="shared" si="245"/>
        <v>0.36036000000000001</v>
      </c>
      <c r="O289" s="94">
        <f t="shared" si="246"/>
        <v>9.4380000000000006E-2</v>
      </c>
      <c r="P289" s="68"/>
      <c r="Q289" s="100">
        <v>1</v>
      </c>
      <c r="R289" s="104">
        <f t="shared" si="195"/>
        <v>0.26597999999999999</v>
      </c>
      <c r="S289" s="73">
        <v>17242347</v>
      </c>
      <c r="T289" s="73">
        <f t="shared" si="253"/>
        <v>241928617</v>
      </c>
      <c r="U289" s="95">
        <f t="shared" si="248"/>
        <v>23824753.943837203</v>
      </c>
      <c r="V289" s="95">
        <f>408405.578236054*7.15</f>
        <v>2920099.884387786</v>
      </c>
      <c r="W289" s="40" t="s">
        <v>78</v>
      </c>
      <c r="X289" s="129" t="s">
        <v>87</v>
      </c>
      <c r="Y289" s="79">
        <v>2.09</v>
      </c>
      <c r="Z289" s="79"/>
      <c r="AA289" s="79"/>
      <c r="AB289" s="80"/>
      <c r="AC289" s="95">
        <f t="shared" si="254"/>
        <v>6213452.1649200004</v>
      </c>
      <c r="AD289" s="83"/>
      <c r="AE289" s="77">
        <f t="shared" si="255"/>
        <v>36036.505229999995</v>
      </c>
      <c r="AF289" s="88"/>
    </row>
    <row r="290" spans="2:32" s="43" customFormat="1" hidden="1">
      <c r="B290" s="17" t="s">
        <v>6</v>
      </c>
      <c r="C290" s="40" t="s">
        <v>14</v>
      </c>
      <c r="D290" s="40" t="s">
        <v>112</v>
      </c>
      <c r="E290" s="91" t="s">
        <v>113</v>
      </c>
      <c r="F290" s="40" t="s">
        <v>114</v>
      </c>
      <c r="G290" s="40"/>
      <c r="H290" s="40" t="s">
        <v>52</v>
      </c>
      <c r="I290" s="57">
        <v>2024</v>
      </c>
      <c r="J290" s="57">
        <v>4</v>
      </c>
      <c r="K290" s="29">
        <v>45597</v>
      </c>
      <c r="L290" s="66"/>
      <c r="M290" s="94">
        <f t="shared" si="244"/>
        <v>0.26597999999999999</v>
      </c>
      <c r="N290" s="94">
        <f t="shared" si="245"/>
        <v>0.36036000000000001</v>
      </c>
      <c r="O290" s="94">
        <f t="shared" si="246"/>
        <v>9.4380000000000006E-2</v>
      </c>
      <c r="P290" s="68"/>
      <c r="Q290" s="100">
        <v>1</v>
      </c>
      <c r="R290" s="104">
        <f t="shared" si="195"/>
        <v>0.26597999999999999</v>
      </c>
      <c r="S290" s="73">
        <v>8040000</v>
      </c>
      <c r="T290" s="73">
        <f t="shared" si="253"/>
        <v>224686270</v>
      </c>
      <c r="U290" s="95">
        <f t="shared" si="248"/>
        <v>23824753.943837203</v>
      </c>
      <c r="V290" s="95">
        <f>635829.314161953*7.15</f>
        <v>4546179.5962579641</v>
      </c>
      <c r="W290" s="40" t="s">
        <v>78</v>
      </c>
      <c r="X290" s="129" t="s">
        <v>87</v>
      </c>
      <c r="Y290" s="79">
        <v>2.09</v>
      </c>
      <c r="Z290" s="79"/>
      <c r="AA290" s="79"/>
      <c r="AB290" s="80"/>
      <c r="AC290" s="95">
        <f t="shared" si="254"/>
        <v>2897294.4</v>
      </c>
      <c r="AD290" s="83"/>
      <c r="AE290" s="77">
        <f t="shared" si="255"/>
        <v>16803.599999999999</v>
      </c>
      <c r="AF290" s="88"/>
    </row>
    <row r="291" spans="2:32" s="43" customFormat="1" hidden="1">
      <c r="B291" s="17" t="s">
        <v>6</v>
      </c>
      <c r="C291" s="40" t="s">
        <v>14</v>
      </c>
      <c r="D291" s="40" t="s">
        <v>112</v>
      </c>
      <c r="E291" s="91" t="s">
        <v>113</v>
      </c>
      <c r="F291" s="40" t="s">
        <v>114</v>
      </c>
      <c r="G291" s="40"/>
      <c r="H291" s="40" t="s">
        <v>52</v>
      </c>
      <c r="I291" s="57">
        <v>2024</v>
      </c>
      <c r="J291" s="57">
        <v>3</v>
      </c>
      <c r="K291" s="29">
        <v>45597</v>
      </c>
      <c r="L291" s="66"/>
      <c r="M291" s="94">
        <f t="shared" si="244"/>
        <v>0.26597999999999999</v>
      </c>
      <c r="N291" s="94">
        <f t="shared" si="245"/>
        <v>0.36036000000000001</v>
      </c>
      <c r="O291" s="94">
        <f t="shared" si="246"/>
        <v>9.4380000000000006E-2</v>
      </c>
      <c r="P291" s="68"/>
      <c r="Q291" s="100">
        <v>1</v>
      </c>
      <c r="R291" s="104">
        <f t="shared" si="195"/>
        <v>0.26597999999999999</v>
      </c>
      <c r="S291" s="73">
        <v>12648000</v>
      </c>
      <c r="T291" s="73">
        <f t="shared" si="253"/>
        <v>216646270</v>
      </c>
      <c r="U291" s="95">
        <f t="shared" si="248"/>
        <v>23824753.943837203</v>
      </c>
      <c r="V291" s="95">
        <f>741875.598745149*7.15</f>
        <v>5304410.5310278153</v>
      </c>
      <c r="W291" s="40" t="s">
        <v>78</v>
      </c>
      <c r="X291" s="129" t="s">
        <v>87</v>
      </c>
      <c r="Y291" s="79">
        <v>2.09</v>
      </c>
      <c r="Z291" s="79"/>
      <c r="AA291" s="79"/>
      <c r="AB291" s="80"/>
      <c r="AC291" s="95">
        <f t="shared" si="254"/>
        <v>4557833.28</v>
      </c>
      <c r="AD291" s="83"/>
      <c r="AE291" s="77">
        <f t="shared" si="255"/>
        <v>26434.32</v>
      </c>
      <c r="AF291" s="88"/>
    </row>
    <row r="292" spans="2:32" s="43" customFormat="1" hidden="1">
      <c r="B292" s="17" t="s">
        <v>6</v>
      </c>
      <c r="C292" s="40" t="s">
        <v>14</v>
      </c>
      <c r="D292" s="40" t="s">
        <v>112</v>
      </c>
      <c r="E292" s="91" t="s">
        <v>113</v>
      </c>
      <c r="F292" s="40" t="s">
        <v>114</v>
      </c>
      <c r="G292" s="40"/>
      <c r="H292" s="40" t="s">
        <v>52</v>
      </c>
      <c r="I292" s="57">
        <v>2024</v>
      </c>
      <c r="J292" s="57">
        <v>2</v>
      </c>
      <c r="K292" s="29">
        <v>45597</v>
      </c>
      <c r="L292" s="66"/>
      <c r="M292" s="94">
        <f t="shared" si="244"/>
        <v>0.26597999999999999</v>
      </c>
      <c r="N292" s="94">
        <f t="shared" si="245"/>
        <v>0.36036000000000001</v>
      </c>
      <c r="O292" s="94">
        <f t="shared" si="246"/>
        <v>9.4380000000000006E-2</v>
      </c>
      <c r="P292" s="68"/>
      <c r="Q292" s="100">
        <v>1</v>
      </c>
      <c r="R292" s="104">
        <f t="shared" ref="R292:R364" si="256">Q292*M292</f>
        <v>0.26597999999999999</v>
      </c>
      <c r="S292" s="73">
        <v>11921211</v>
      </c>
      <c r="T292" s="73">
        <f t="shared" si="253"/>
        <v>203998270</v>
      </c>
      <c r="U292" s="95">
        <f t="shared" si="248"/>
        <v>23824753.943837203</v>
      </c>
      <c r="V292" s="95">
        <f>908700.64941782*7.15</f>
        <v>6497209.6433374137</v>
      </c>
      <c r="W292" s="40" t="s">
        <v>78</v>
      </c>
      <c r="X292" s="129" t="s">
        <v>87</v>
      </c>
      <c r="Y292" s="79">
        <v>2.09</v>
      </c>
      <c r="Z292" s="79"/>
      <c r="AA292" s="79"/>
      <c r="AB292" s="80"/>
      <c r="AC292" s="95">
        <f t="shared" si="254"/>
        <v>4295927.5959600005</v>
      </c>
      <c r="AD292" s="83"/>
      <c r="AE292" s="77">
        <f t="shared" si="255"/>
        <v>24915.330989999999</v>
      </c>
      <c r="AF292" s="88"/>
    </row>
    <row r="293" spans="2:32" s="43" customFormat="1" hidden="1">
      <c r="B293" s="17" t="s">
        <v>6</v>
      </c>
      <c r="C293" s="40" t="s">
        <v>14</v>
      </c>
      <c r="D293" s="40" t="s">
        <v>112</v>
      </c>
      <c r="E293" s="91" t="s">
        <v>113</v>
      </c>
      <c r="F293" s="40" t="s">
        <v>114</v>
      </c>
      <c r="G293" s="40"/>
      <c r="H293" s="40" t="s">
        <v>52</v>
      </c>
      <c r="I293" s="57">
        <v>2024</v>
      </c>
      <c r="J293" s="57">
        <v>1</v>
      </c>
      <c r="K293" s="29">
        <v>45597</v>
      </c>
      <c r="L293" s="66"/>
      <c r="M293" s="94">
        <f t="shared" si="244"/>
        <v>0.26597999999999999</v>
      </c>
      <c r="N293" s="94">
        <f t="shared" si="245"/>
        <v>0.36036000000000001</v>
      </c>
      <c r="O293" s="94">
        <f t="shared" si="246"/>
        <v>9.4380000000000006E-2</v>
      </c>
      <c r="P293" s="68"/>
      <c r="Q293" s="100">
        <v>1</v>
      </c>
      <c r="R293" s="104">
        <f t="shared" si="256"/>
        <v>0.26597999999999999</v>
      </c>
      <c r="S293" s="73">
        <v>11856000</v>
      </c>
      <c r="T293" s="73">
        <f t="shared" si="253"/>
        <v>192077059</v>
      </c>
      <c r="U293" s="95">
        <f t="shared" si="248"/>
        <v>23824753.943837203</v>
      </c>
      <c r="V293" s="95">
        <f>1065939.47208975*7.15</f>
        <v>7621467.2254417129</v>
      </c>
      <c r="W293" s="40" t="s">
        <v>78</v>
      </c>
      <c r="X293" s="129" t="s">
        <v>87</v>
      </c>
      <c r="Y293" s="79">
        <v>2.09</v>
      </c>
      <c r="Z293" s="79"/>
      <c r="AA293" s="79"/>
      <c r="AB293" s="80"/>
      <c r="AC293" s="95">
        <f t="shared" si="254"/>
        <v>4272428.16</v>
      </c>
      <c r="AD293" s="83"/>
      <c r="AE293" s="77">
        <f t="shared" si="255"/>
        <v>24779.040000000001</v>
      </c>
      <c r="AF293" s="88"/>
    </row>
    <row r="294" spans="2:32" s="43" customFormat="1" hidden="1">
      <c r="B294" s="17" t="s">
        <v>6</v>
      </c>
      <c r="C294" s="40" t="s">
        <v>14</v>
      </c>
      <c r="D294" s="40" t="s">
        <v>112</v>
      </c>
      <c r="E294" s="91" t="s">
        <v>113</v>
      </c>
      <c r="F294" s="40" t="s">
        <v>114</v>
      </c>
      <c r="G294" s="40"/>
      <c r="H294" s="40" t="s">
        <v>52</v>
      </c>
      <c r="I294" s="57">
        <v>2023</v>
      </c>
      <c r="J294" s="57">
        <v>12</v>
      </c>
      <c r="K294" s="29">
        <v>45597</v>
      </c>
      <c r="L294" s="66"/>
      <c r="M294" s="94">
        <f t="shared" si="244"/>
        <v>0.26597999999999999</v>
      </c>
      <c r="N294" s="94">
        <f t="shared" si="245"/>
        <v>0.36036000000000001</v>
      </c>
      <c r="O294" s="94">
        <f t="shared" si="246"/>
        <v>9.4380000000000006E-2</v>
      </c>
      <c r="P294" s="68"/>
      <c r="Q294" s="100">
        <v>1</v>
      </c>
      <c r="R294" s="104">
        <f t="shared" si="256"/>
        <v>0.26597999999999999</v>
      </c>
      <c r="S294" s="73">
        <v>10445104</v>
      </c>
      <c r="T294" s="73">
        <f t="shared" si="253"/>
        <v>180221059</v>
      </c>
      <c r="U294" s="95">
        <f t="shared" si="248"/>
        <v>23824753.943837203</v>
      </c>
      <c r="V294" s="95">
        <f>1222318.17234079*7.15</f>
        <v>8739574.9322366491</v>
      </c>
      <c r="W294" s="40" t="s">
        <v>78</v>
      </c>
      <c r="X294" s="129" t="s">
        <v>87</v>
      </c>
      <c r="Y294" s="79">
        <v>2.09</v>
      </c>
      <c r="Z294" s="79"/>
      <c r="AA294" s="79"/>
      <c r="AB294" s="80"/>
      <c r="AC294" s="95">
        <f t="shared" si="254"/>
        <v>3763997.6774400002</v>
      </c>
      <c r="AD294" s="83"/>
      <c r="AE294" s="77">
        <f t="shared" si="255"/>
        <v>21830.267359999998</v>
      </c>
      <c r="AF294" s="88"/>
    </row>
    <row r="295" spans="2:32" s="43" customFormat="1" hidden="1">
      <c r="B295" s="17" t="s">
        <v>6</v>
      </c>
      <c r="C295" s="40" t="s">
        <v>14</v>
      </c>
      <c r="D295" s="40" t="s">
        <v>112</v>
      </c>
      <c r="E295" s="91" t="s">
        <v>113</v>
      </c>
      <c r="F295" s="40" t="s">
        <v>114</v>
      </c>
      <c r="G295" s="40"/>
      <c r="H295" s="40" t="s">
        <v>52</v>
      </c>
      <c r="I295" s="57">
        <v>2023</v>
      </c>
      <c r="J295" s="57">
        <v>11</v>
      </c>
      <c r="K295" s="29">
        <v>45597</v>
      </c>
      <c r="L295" s="66"/>
      <c r="M295" s="94">
        <f t="shared" si="244"/>
        <v>0.26597999999999999</v>
      </c>
      <c r="N295" s="94">
        <f t="shared" si="245"/>
        <v>0.36036000000000001</v>
      </c>
      <c r="O295" s="94">
        <f t="shared" si="246"/>
        <v>9.4380000000000006E-2</v>
      </c>
      <c r="P295" s="68"/>
      <c r="Q295" s="100">
        <v>1</v>
      </c>
      <c r="R295" s="104">
        <f t="shared" si="256"/>
        <v>0.26597999999999999</v>
      </c>
      <c r="S295" s="73">
        <v>8040000</v>
      </c>
      <c r="T295" s="73">
        <f t="shared" si="253"/>
        <v>169775955</v>
      </c>
      <c r="U295" s="95">
        <f t="shared" si="248"/>
        <v>23824753.943837203</v>
      </c>
      <c r="V295" s="95">
        <f>1360087.3851872*7.15</f>
        <v>9724624.8040884808</v>
      </c>
      <c r="W295" s="40" t="s">
        <v>78</v>
      </c>
      <c r="X295" s="129" t="s">
        <v>87</v>
      </c>
      <c r="Y295" s="79">
        <v>2.09</v>
      </c>
      <c r="Z295" s="79"/>
      <c r="AA295" s="79"/>
      <c r="AB295" s="80"/>
      <c r="AC295" s="95">
        <f t="shared" si="254"/>
        <v>2897294.4</v>
      </c>
      <c r="AD295" s="83"/>
      <c r="AE295" s="77">
        <f t="shared" si="255"/>
        <v>16803.599999999999</v>
      </c>
      <c r="AF295" s="88"/>
    </row>
    <row r="296" spans="2:32" s="43" customFormat="1" hidden="1">
      <c r="B296" s="17" t="s">
        <v>6</v>
      </c>
      <c r="C296" s="40" t="s">
        <v>14</v>
      </c>
      <c r="D296" s="40" t="s">
        <v>112</v>
      </c>
      <c r="E296" s="91" t="s">
        <v>113</v>
      </c>
      <c r="F296" s="40" t="s">
        <v>114</v>
      </c>
      <c r="G296" s="40"/>
      <c r="H296" s="40" t="s">
        <v>52</v>
      </c>
      <c r="I296" s="57">
        <v>2023</v>
      </c>
      <c r="J296" s="57">
        <v>10</v>
      </c>
      <c r="K296" s="29">
        <v>45597</v>
      </c>
      <c r="L296" s="66"/>
      <c r="M296" s="94">
        <f t="shared" si="244"/>
        <v>0.26597999999999999</v>
      </c>
      <c r="N296" s="94">
        <f t="shared" si="245"/>
        <v>0.36036000000000001</v>
      </c>
      <c r="O296" s="94">
        <f t="shared" si="246"/>
        <v>9.4380000000000006E-2</v>
      </c>
      <c r="P296" s="68"/>
      <c r="Q296" s="100">
        <v>1</v>
      </c>
      <c r="R296" s="104">
        <f t="shared" si="256"/>
        <v>0.26597999999999999</v>
      </c>
      <c r="S296" s="73">
        <v>4800000</v>
      </c>
      <c r="T296" s="73">
        <f t="shared" si="253"/>
        <v>161735955</v>
      </c>
      <c r="U296" s="95">
        <f t="shared" si="248"/>
        <v>23824753.943837203</v>
      </c>
      <c r="V296" s="95">
        <f>1466133.66977039*7.15</f>
        <v>10482855.73885829</v>
      </c>
      <c r="W296" s="40" t="s">
        <v>78</v>
      </c>
      <c r="X296" s="129" t="s">
        <v>87</v>
      </c>
      <c r="Y296" s="79">
        <v>2.09</v>
      </c>
      <c r="Z296" s="79"/>
      <c r="AA296" s="79"/>
      <c r="AB296" s="80"/>
      <c r="AC296" s="95">
        <f t="shared" si="254"/>
        <v>1729728</v>
      </c>
      <c r="AD296" s="83"/>
      <c r="AE296" s="77">
        <f t="shared" si="255"/>
        <v>10032</v>
      </c>
      <c r="AF296" s="88"/>
    </row>
    <row r="297" spans="2:32" s="43" customFormat="1" hidden="1">
      <c r="B297" s="17" t="s">
        <v>6</v>
      </c>
      <c r="C297" s="40" t="s">
        <v>14</v>
      </c>
      <c r="D297" s="40" t="s">
        <v>112</v>
      </c>
      <c r="E297" s="91" t="s">
        <v>113</v>
      </c>
      <c r="F297" s="40" t="s">
        <v>114</v>
      </c>
      <c r="G297" s="40"/>
      <c r="H297" s="40" t="s">
        <v>52</v>
      </c>
      <c r="I297" s="57">
        <v>2023</v>
      </c>
      <c r="J297" s="57">
        <v>9</v>
      </c>
      <c r="K297" s="29">
        <v>45597</v>
      </c>
      <c r="L297" s="66"/>
      <c r="M297" s="94">
        <f t="shared" si="244"/>
        <v>0.26597999999999999</v>
      </c>
      <c r="N297" s="94">
        <f t="shared" si="245"/>
        <v>0.36036000000000001</v>
      </c>
      <c r="O297" s="94">
        <f t="shared" si="246"/>
        <v>9.4380000000000006E-2</v>
      </c>
      <c r="P297" s="68"/>
      <c r="Q297" s="100">
        <v>1</v>
      </c>
      <c r="R297" s="104">
        <f t="shared" si="256"/>
        <v>0.26597999999999999</v>
      </c>
      <c r="S297" s="73">
        <v>5249211</v>
      </c>
      <c r="T297" s="73">
        <f t="shared" si="253"/>
        <v>156935955</v>
      </c>
      <c r="U297" s="95">
        <f t="shared" si="248"/>
        <v>23824753.943837203</v>
      </c>
      <c r="V297" s="95">
        <f>1529444.88444693*7.15</f>
        <v>10935530.923795549</v>
      </c>
      <c r="W297" s="40" t="s">
        <v>78</v>
      </c>
      <c r="X297" s="129" t="s">
        <v>87</v>
      </c>
      <c r="Y297" s="79">
        <v>2.09</v>
      </c>
      <c r="Z297" s="79"/>
      <c r="AA297" s="79"/>
      <c r="AB297" s="80"/>
      <c r="AC297" s="95">
        <f t="shared" si="254"/>
        <v>1891605.6759600001</v>
      </c>
      <c r="AD297" s="83"/>
      <c r="AE297" s="77">
        <f t="shared" si="255"/>
        <v>10970.850989999999</v>
      </c>
      <c r="AF297" s="88"/>
    </row>
    <row r="298" spans="2:32" s="43" customFormat="1" hidden="1">
      <c r="B298" s="17" t="s">
        <v>6</v>
      </c>
      <c r="C298" s="40" t="s">
        <v>14</v>
      </c>
      <c r="D298" s="40" t="s">
        <v>112</v>
      </c>
      <c r="E298" s="91" t="s">
        <v>113</v>
      </c>
      <c r="F298" s="40" t="s">
        <v>114</v>
      </c>
      <c r="G298" s="40"/>
      <c r="H298" s="40" t="s">
        <v>52</v>
      </c>
      <c r="I298" s="57">
        <v>2023</v>
      </c>
      <c r="J298" s="57">
        <v>8</v>
      </c>
      <c r="K298" s="29">
        <v>45597</v>
      </c>
      <c r="L298" s="66"/>
      <c r="M298" s="94">
        <f t="shared" si="244"/>
        <v>0.26597999999999999</v>
      </c>
      <c r="N298" s="94">
        <f t="shared" si="245"/>
        <v>0.36036000000000001</v>
      </c>
      <c r="O298" s="94">
        <f t="shared" si="246"/>
        <v>9.4380000000000006E-2</v>
      </c>
      <c r="P298" s="68"/>
      <c r="Q298" s="100">
        <v>1</v>
      </c>
      <c r="R298" s="104">
        <f t="shared" si="256"/>
        <v>0.26597999999999999</v>
      </c>
      <c r="S298" s="73">
        <v>8328000</v>
      </c>
      <c r="T298" s="73">
        <f t="shared" si="253"/>
        <v>151686744</v>
      </c>
      <c r="U298" s="95">
        <f t="shared" si="248"/>
        <v>23824753.943837203</v>
      </c>
      <c r="V298" s="95">
        <f>1598681.11871848*7.15</f>
        <v>11430569.998837132</v>
      </c>
      <c r="W298" s="40" t="s">
        <v>78</v>
      </c>
      <c r="X298" s="129" t="s">
        <v>87</v>
      </c>
      <c r="Y298" s="79">
        <v>2.09</v>
      </c>
      <c r="Z298" s="79"/>
      <c r="AA298" s="79"/>
      <c r="AB298" s="80"/>
      <c r="AC298" s="95">
        <f t="shared" si="254"/>
        <v>3001078.08</v>
      </c>
      <c r="AD298" s="83"/>
      <c r="AE298" s="77">
        <f t="shared" si="255"/>
        <v>17405.52</v>
      </c>
      <c r="AF298" s="88"/>
    </row>
    <row r="299" spans="2:32" s="43" customFormat="1" hidden="1">
      <c r="B299" s="17" t="s">
        <v>6</v>
      </c>
      <c r="C299" s="40" t="s">
        <v>14</v>
      </c>
      <c r="D299" s="40" t="s">
        <v>112</v>
      </c>
      <c r="E299" s="91" t="s">
        <v>113</v>
      </c>
      <c r="F299" s="40" t="s">
        <v>114</v>
      </c>
      <c r="G299" s="40"/>
      <c r="H299" s="40" t="s">
        <v>52</v>
      </c>
      <c r="I299" s="57">
        <v>2023</v>
      </c>
      <c r="J299" s="57">
        <v>7</v>
      </c>
      <c r="K299" s="29">
        <v>45597</v>
      </c>
      <c r="L299" s="66"/>
      <c r="M299" s="94">
        <f t="shared" si="244"/>
        <v>0.26597999999999999</v>
      </c>
      <c r="N299" s="94">
        <f t="shared" si="245"/>
        <v>0.36036000000000001</v>
      </c>
      <c r="O299" s="94">
        <f t="shared" si="246"/>
        <v>9.4380000000000006E-2</v>
      </c>
      <c r="P299" s="68"/>
      <c r="Q299" s="100">
        <v>1</v>
      </c>
      <c r="R299" s="104">
        <f t="shared" si="256"/>
        <v>0.26597999999999999</v>
      </c>
      <c r="S299" s="73">
        <v>9829400</v>
      </c>
      <c r="T299" s="73">
        <f t="shared" si="253"/>
        <v>143358744</v>
      </c>
      <c r="U299" s="95">
        <f t="shared" si="248"/>
        <v>23824753.943837203</v>
      </c>
      <c r="V299" s="95">
        <f>1708526.07618227*7.15</f>
        <v>12215961.444703231</v>
      </c>
      <c r="W299" s="40" t="s">
        <v>78</v>
      </c>
      <c r="X299" s="129" t="s">
        <v>87</v>
      </c>
      <c r="Y299" s="79">
        <v>2.09</v>
      </c>
      <c r="Z299" s="79"/>
      <c r="AA299" s="79"/>
      <c r="AB299" s="80"/>
      <c r="AC299" s="95">
        <f t="shared" si="254"/>
        <v>3542122.5840000003</v>
      </c>
      <c r="AD299" s="83"/>
      <c r="AE299" s="77">
        <f t="shared" si="255"/>
        <v>20543.446</v>
      </c>
      <c r="AF299" s="88"/>
    </row>
    <row r="300" spans="2:32" s="43" customFormat="1" hidden="1">
      <c r="B300" s="17" t="s">
        <v>6</v>
      </c>
      <c r="C300" s="40" t="s">
        <v>14</v>
      </c>
      <c r="D300" s="40" t="s">
        <v>112</v>
      </c>
      <c r="E300" s="91" t="s">
        <v>113</v>
      </c>
      <c r="F300" s="40" t="s">
        <v>114</v>
      </c>
      <c r="G300" s="40"/>
      <c r="H300" s="40" t="s">
        <v>52</v>
      </c>
      <c r="I300" s="57">
        <v>2023</v>
      </c>
      <c r="J300" s="57">
        <v>6</v>
      </c>
      <c r="K300" s="29">
        <v>45597</v>
      </c>
      <c r="L300" s="66"/>
      <c r="M300" s="94">
        <f t="shared" si="244"/>
        <v>0.26597999999999999</v>
      </c>
      <c r="N300" s="94">
        <f t="shared" si="245"/>
        <v>0.36036000000000001</v>
      </c>
      <c r="O300" s="94">
        <f t="shared" si="246"/>
        <v>9.4380000000000006E-2</v>
      </c>
      <c r="P300" s="68"/>
      <c r="Q300" s="100">
        <v>1</v>
      </c>
      <c r="R300" s="104">
        <f t="shared" si="256"/>
        <v>0.26597999999999999</v>
      </c>
      <c r="S300" s="73">
        <v>12719023</v>
      </c>
      <c r="T300" s="73">
        <f t="shared" si="253"/>
        <v>133529344</v>
      </c>
      <c r="U300" s="95">
        <f t="shared" si="248"/>
        <v>23824753.943837203</v>
      </c>
      <c r="V300" s="95">
        <f>1838174.25400342*7.15</f>
        <v>13142945.916124454</v>
      </c>
      <c r="W300" s="40" t="s">
        <v>78</v>
      </c>
      <c r="X300" s="129" t="s">
        <v>87</v>
      </c>
      <c r="Y300" s="79">
        <v>2.09</v>
      </c>
      <c r="Z300" s="79"/>
      <c r="AA300" s="79"/>
      <c r="AB300" s="80"/>
      <c r="AC300" s="95">
        <f t="shared" si="254"/>
        <v>4583427.1282799998</v>
      </c>
      <c r="AD300" s="83"/>
      <c r="AE300" s="77">
        <f t="shared" si="255"/>
        <v>26582.758069999996</v>
      </c>
      <c r="AF300" s="88"/>
    </row>
    <row r="301" spans="2:32" s="43" customFormat="1" hidden="1">
      <c r="B301" s="17" t="s">
        <v>6</v>
      </c>
      <c r="C301" s="40" t="s">
        <v>14</v>
      </c>
      <c r="D301" s="40" t="s">
        <v>112</v>
      </c>
      <c r="E301" s="91" t="s">
        <v>113</v>
      </c>
      <c r="F301" s="40" t="s">
        <v>114</v>
      </c>
      <c r="G301" s="40"/>
      <c r="H301" s="40" t="s">
        <v>52</v>
      </c>
      <c r="I301" s="57">
        <v>2023</v>
      </c>
      <c r="J301" s="57">
        <v>5</v>
      </c>
      <c r="K301" s="29">
        <v>45597</v>
      </c>
      <c r="L301" s="66"/>
      <c r="M301" s="94">
        <f t="shared" si="244"/>
        <v>0.26597999999999999</v>
      </c>
      <c r="N301" s="94">
        <f t="shared" si="245"/>
        <v>0.36036000000000001</v>
      </c>
      <c r="O301" s="94">
        <f t="shared" si="246"/>
        <v>9.4380000000000006E-2</v>
      </c>
      <c r="P301" s="68"/>
      <c r="Q301" s="100">
        <v>1</v>
      </c>
      <c r="R301" s="104">
        <f t="shared" si="256"/>
        <v>0.26597999999999999</v>
      </c>
      <c r="S301" s="73">
        <v>8746500</v>
      </c>
      <c r="T301" s="73">
        <f t="shared" si="253"/>
        <v>120810321</v>
      </c>
      <c r="U301" s="95">
        <f t="shared" si="248"/>
        <v>23824753.943837203</v>
      </c>
      <c r="V301" s="95">
        <f>2005936.08642608*7.15</f>
        <v>14342443.017946472</v>
      </c>
      <c r="W301" s="40" t="s">
        <v>78</v>
      </c>
      <c r="X301" s="129" t="s">
        <v>87</v>
      </c>
      <c r="Y301" s="79">
        <v>2.09</v>
      </c>
      <c r="Z301" s="79"/>
      <c r="AA301" s="79"/>
      <c r="AB301" s="80"/>
      <c r="AC301" s="95">
        <f t="shared" si="254"/>
        <v>3151888.74</v>
      </c>
      <c r="AD301" s="83"/>
      <c r="AE301" s="77">
        <f t="shared" si="255"/>
        <v>18280.185000000001</v>
      </c>
      <c r="AF301" s="88"/>
    </row>
    <row r="302" spans="2:32" s="43" customFormat="1" hidden="1">
      <c r="B302" s="17" t="s">
        <v>6</v>
      </c>
      <c r="C302" s="40" t="s">
        <v>14</v>
      </c>
      <c r="D302" s="40" t="s">
        <v>112</v>
      </c>
      <c r="E302" s="91" t="s">
        <v>113</v>
      </c>
      <c r="F302" s="40" t="s">
        <v>114</v>
      </c>
      <c r="G302" s="40"/>
      <c r="H302" s="40" t="s">
        <v>52</v>
      </c>
      <c r="I302" s="57">
        <v>2023</v>
      </c>
      <c r="J302" s="57">
        <v>4</v>
      </c>
      <c r="K302" s="29">
        <v>45597</v>
      </c>
      <c r="L302" s="66"/>
      <c r="M302" s="94">
        <f t="shared" si="244"/>
        <v>0.26597999999999999</v>
      </c>
      <c r="N302" s="94">
        <f t="shared" si="245"/>
        <v>0.36036000000000001</v>
      </c>
      <c r="O302" s="94">
        <f t="shared" si="246"/>
        <v>9.4380000000000006E-2</v>
      </c>
      <c r="P302" s="68"/>
      <c r="Q302" s="100">
        <v>1</v>
      </c>
      <c r="R302" s="104">
        <f t="shared" si="256"/>
        <v>0.26597999999999999</v>
      </c>
      <c r="S302" s="73">
        <v>14479875</v>
      </c>
      <c r="T302" s="73">
        <f t="shared" si="253"/>
        <v>112063821</v>
      </c>
      <c r="U302" s="95">
        <f t="shared" si="248"/>
        <v>23824753.943837203</v>
      </c>
      <c r="V302" s="95">
        <f>2121300.99041948*7.15</f>
        <v>15167302.081499282</v>
      </c>
      <c r="W302" s="40" t="s">
        <v>78</v>
      </c>
      <c r="X302" s="129" t="s">
        <v>87</v>
      </c>
      <c r="Y302" s="79">
        <v>2.09</v>
      </c>
      <c r="Z302" s="79"/>
      <c r="AA302" s="79"/>
      <c r="AB302" s="80"/>
      <c r="AC302" s="95">
        <f t="shared" si="254"/>
        <v>5217967.7549999999</v>
      </c>
      <c r="AD302" s="83"/>
      <c r="AE302" s="77">
        <f t="shared" si="255"/>
        <v>30262.938749999998</v>
      </c>
      <c r="AF302" s="88"/>
    </row>
    <row r="303" spans="2:32" s="43" customFormat="1" hidden="1">
      <c r="B303" s="17" t="s">
        <v>6</v>
      </c>
      <c r="C303" s="40" t="s">
        <v>14</v>
      </c>
      <c r="D303" s="40" t="s">
        <v>112</v>
      </c>
      <c r="E303" s="91" t="s">
        <v>113</v>
      </c>
      <c r="F303" s="40" t="s">
        <v>114</v>
      </c>
      <c r="G303" s="40"/>
      <c r="H303" s="40" t="s">
        <v>52</v>
      </c>
      <c r="I303" s="57">
        <v>2023</v>
      </c>
      <c r="J303" s="57">
        <v>3</v>
      </c>
      <c r="K303" s="29">
        <v>45597</v>
      </c>
      <c r="L303" s="66"/>
      <c r="M303" s="94">
        <f t="shared" si="244"/>
        <v>0.26597999999999999</v>
      </c>
      <c r="N303" s="94">
        <f t="shared" si="245"/>
        <v>0.36036000000000001</v>
      </c>
      <c r="O303" s="94">
        <f t="shared" si="246"/>
        <v>9.4380000000000006E-2</v>
      </c>
      <c r="P303" s="68"/>
      <c r="Q303" s="100">
        <v>1</v>
      </c>
      <c r="R303" s="104">
        <f t="shared" si="256"/>
        <v>0.26597999999999999</v>
      </c>
      <c r="S303" s="73">
        <v>13767000</v>
      </c>
      <c r="T303" s="73">
        <f t="shared" si="253"/>
        <v>97583946</v>
      </c>
      <c r="U303" s="95">
        <f t="shared" si="248"/>
        <v>23824753.943837203</v>
      </c>
      <c r="V303" s="95">
        <f>2312288.17263082*7.15</f>
        <v>16532860.434310364</v>
      </c>
      <c r="W303" s="40" t="s">
        <v>78</v>
      </c>
      <c r="X303" s="129" t="s">
        <v>87</v>
      </c>
      <c r="Y303" s="79">
        <v>2.09</v>
      </c>
      <c r="Z303" s="79"/>
      <c r="AA303" s="79"/>
      <c r="AB303" s="80"/>
      <c r="AC303" s="95">
        <f t="shared" si="254"/>
        <v>4961076.12</v>
      </c>
      <c r="AD303" s="83"/>
      <c r="AE303" s="77">
        <f t="shared" si="255"/>
        <v>28773.029999999995</v>
      </c>
      <c r="AF303" s="88"/>
    </row>
    <row r="304" spans="2:32" s="43" customFormat="1" hidden="1">
      <c r="B304" s="17" t="s">
        <v>6</v>
      </c>
      <c r="C304" s="40" t="s">
        <v>14</v>
      </c>
      <c r="D304" s="40" t="s">
        <v>112</v>
      </c>
      <c r="E304" s="91" t="s">
        <v>113</v>
      </c>
      <c r="F304" s="40" t="s">
        <v>114</v>
      </c>
      <c r="G304" s="40"/>
      <c r="H304" s="40" t="s">
        <v>52</v>
      </c>
      <c r="I304" s="57">
        <v>2023</v>
      </c>
      <c r="J304" s="57">
        <v>2</v>
      </c>
      <c r="K304" s="29">
        <v>45597</v>
      </c>
      <c r="L304" s="66"/>
      <c r="M304" s="94">
        <f t="shared" si="244"/>
        <v>0.26597999999999999</v>
      </c>
      <c r="N304" s="94">
        <f t="shared" si="245"/>
        <v>0.36036000000000001</v>
      </c>
      <c r="O304" s="94">
        <f t="shared" si="246"/>
        <v>9.4380000000000006E-2</v>
      </c>
      <c r="P304" s="68"/>
      <c r="Q304" s="100">
        <v>1</v>
      </c>
      <c r="R304" s="104">
        <f t="shared" si="256"/>
        <v>0.26597999999999999</v>
      </c>
      <c r="S304" s="73">
        <v>13382423</v>
      </c>
      <c r="T304" s="73">
        <f t="shared" si="253"/>
        <v>83816946</v>
      </c>
      <c r="U304" s="95">
        <f t="shared" si="248"/>
        <v>23824753.943837203</v>
      </c>
      <c r="V304" s="95">
        <f>2493872.65022495*7.15</f>
        <v>17831189.449108396</v>
      </c>
      <c r="W304" s="40" t="s">
        <v>78</v>
      </c>
      <c r="X304" s="129" t="s">
        <v>87</v>
      </c>
      <c r="Y304" s="79">
        <v>2.09</v>
      </c>
      <c r="Z304" s="79"/>
      <c r="AA304" s="79"/>
      <c r="AB304" s="80"/>
      <c r="AC304" s="95">
        <f t="shared" si="254"/>
        <v>4822489.9522799999</v>
      </c>
      <c r="AD304" s="83"/>
      <c r="AE304" s="77">
        <f t="shared" si="255"/>
        <v>27969.264069999997</v>
      </c>
      <c r="AF304" s="88"/>
    </row>
    <row r="305" spans="2:32" s="43" customFormat="1" hidden="1">
      <c r="B305" s="17" t="s">
        <v>6</v>
      </c>
      <c r="C305" s="40" t="s">
        <v>14</v>
      </c>
      <c r="D305" s="40" t="s">
        <v>112</v>
      </c>
      <c r="E305" s="91" t="s">
        <v>113</v>
      </c>
      <c r="F305" s="40" t="s">
        <v>114</v>
      </c>
      <c r="G305" s="40"/>
      <c r="H305" s="40" t="s">
        <v>52</v>
      </c>
      <c r="I305" s="57">
        <v>2023</v>
      </c>
      <c r="J305" s="57">
        <v>1</v>
      </c>
      <c r="K305" s="29">
        <v>45597</v>
      </c>
      <c r="L305" s="66"/>
      <c r="M305" s="94">
        <f t="shared" si="244"/>
        <v>0.26597999999999999</v>
      </c>
      <c r="N305" s="94">
        <f t="shared" si="245"/>
        <v>0.36036000000000001</v>
      </c>
      <c r="O305" s="94">
        <f t="shared" si="246"/>
        <v>9.4380000000000006E-2</v>
      </c>
      <c r="P305" s="68"/>
      <c r="Q305" s="100">
        <v>1</v>
      </c>
      <c r="R305" s="104">
        <f t="shared" si="256"/>
        <v>0.26597999999999999</v>
      </c>
      <c r="S305" s="73">
        <v>14634923</v>
      </c>
      <c r="T305" s="73">
        <v>70434523</v>
      </c>
      <c r="U305" s="95">
        <f t="shared" si="248"/>
        <v>23824753.943837203</v>
      </c>
      <c r="V305" s="95">
        <f>2670384.62010937*7.15</f>
        <v>19093250.033781998</v>
      </c>
      <c r="W305" s="40" t="s">
        <v>78</v>
      </c>
      <c r="X305" s="129" t="s">
        <v>87</v>
      </c>
      <c r="Y305" s="79">
        <v>2.09</v>
      </c>
      <c r="Z305" s="79"/>
      <c r="AA305" s="79"/>
      <c r="AB305" s="80"/>
      <c r="AC305" s="95">
        <f t="shared" si="254"/>
        <v>5273840.8522800002</v>
      </c>
      <c r="AD305" s="83"/>
      <c r="AE305" s="77">
        <f t="shared" si="255"/>
        <v>30586.989069999996</v>
      </c>
      <c r="AF305" s="88"/>
    </row>
    <row r="306" spans="2:32" s="43" customFormat="1">
      <c r="B306" s="17" t="s">
        <v>6</v>
      </c>
      <c r="C306" s="40" t="s">
        <v>14</v>
      </c>
      <c r="D306" s="40" t="s">
        <v>115</v>
      </c>
      <c r="E306" s="91" t="s">
        <v>116</v>
      </c>
      <c r="F306" s="40" t="s">
        <v>114</v>
      </c>
      <c r="G306" s="40"/>
      <c r="H306" s="40" t="s">
        <v>52</v>
      </c>
      <c r="I306" s="57">
        <v>2025</v>
      </c>
      <c r="J306" s="57">
        <v>2</v>
      </c>
      <c r="K306" s="29">
        <v>45722</v>
      </c>
      <c r="L306" s="66"/>
      <c r="M306" s="94">
        <f t="shared" ref="M306:M331" si="257">0.0111*7.15</f>
        <v>7.9365000000000005E-2</v>
      </c>
      <c r="N306" s="94">
        <f t="shared" ref="N306:N331" si="258">0.0166*7.15</f>
        <v>0.11869</v>
      </c>
      <c r="O306" s="94">
        <f t="shared" ref="O306:O331" si="259">0.0055*7.15</f>
        <v>3.9324999999999999E-2</v>
      </c>
      <c r="P306" s="68"/>
      <c r="Q306" s="100">
        <v>1</v>
      </c>
      <c r="R306" s="104">
        <f t="shared" ref="R306" si="260">Q306*M306</f>
        <v>7.9365000000000005E-2</v>
      </c>
      <c r="S306" s="73">
        <v>16985401</v>
      </c>
      <c r="T306" s="143">
        <f>T307+S306</f>
        <v>352624489</v>
      </c>
      <c r="U306" s="137">
        <f t="shared" ref="U306:U331" si="261">1345404.57529042*7.15</f>
        <v>9619642.7133265045</v>
      </c>
      <c r="V306" s="137">
        <f>-424126*7.15</f>
        <v>-3032500.9000000004</v>
      </c>
      <c r="W306" s="40" t="s">
        <v>78</v>
      </c>
      <c r="X306" s="129" t="s">
        <v>87</v>
      </c>
      <c r="Y306" s="79">
        <v>0.5</v>
      </c>
      <c r="Z306" s="79"/>
      <c r="AA306" s="79"/>
      <c r="AB306" s="80"/>
      <c r="AC306" s="95">
        <f t="shared" si="254"/>
        <v>2015997.2446900001</v>
      </c>
      <c r="AD306" s="87"/>
      <c r="AE306" s="77">
        <f t="shared" si="255"/>
        <v>8492.7005000000008</v>
      </c>
      <c r="AF306" s="88"/>
    </row>
    <row r="307" spans="2:32" s="43" customFormat="1" hidden="1">
      <c r="B307" s="17" t="s">
        <v>6</v>
      </c>
      <c r="C307" s="40" t="s">
        <v>14</v>
      </c>
      <c r="D307" s="40" t="s">
        <v>115</v>
      </c>
      <c r="E307" s="91" t="s">
        <v>116</v>
      </c>
      <c r="F307" s="40" t="s">
        <v>114</v>
      </c>
      <c r="G307" s="40"/>
      <c r="H307" s="40" t="s">
        <v>52</v>
      </c>
      <c r="I307" s="57">
        <v>2025</v>
      </c>
      <c r="J307" s="57">
        <v>1</v>
      </c>
      <c r="K307" s="29">
        <v>45705</v>
      </c>
      <c r="L307" s="66"/>
      <c r="M307" s="94">
        <f t="shared" si="257"/>
        <v>7.9365000000000005E-2</v>
      </c>
      <c r="N307" s="94">
        <f t="shared" si="258"/>
        <v>0.11869</v>
      </c>
      <c r="O307" s="94">
        <f t="shared" si="259"/>
        <v>3.9324999999999999E-2</v>
      </c>
      <c r="P307" s="68"/>
      <c r="Q307" s="100">
        <v>1</v>
      </c>
      <c r="R307" s="104">
        <f t="shared" si="256"/>
        <v>7.9365000000000005E-2</v>
      </c>
      <c r="S307" s="73">
        <v>11375101</v>
      </c>
      <c r="T307" s="73">
        <f>S307+T308</f>
        <v>335639088</v>
      </c>
      <c r="U307" s="95">
        <f t="shared" si="261"/>
        <v>9619642.7133265045</v>
      </c>
      <c r="V307" s="95">
        <f>-331138.1819
*7.15</f>
        <v>-2367638.0005850005</v>
      </c>
      <c r="W307" s="40" t="s">
        <v>78</v>
      </c>
      <c r="X307" s="129" t="s">
        <v>87</v>
      </c>
      <c r="Y307" s="79">
        <v>0.5</v>
      </c>
      <c r="Z307" s="79"/>
      <c r="AA307" s="79"/>
      <c r="AB307" s="80"/>
      <c r="AC307" s="95">
        <f t="shared" ref="AC307" si="262">N307*S307</f>
        <v>1350110.7376900001</v>
      </c>
      <c r="AD307" s="87"/>
      <c r="AE307" s="77">
        <f t="shared" ref="AE307" si="263">S307*Y307/1000</f>
        <v>5687.5505000000003</v>
      </c>
      <c r="AF307" s="88"/>
    </row>
    <row r="308" spans="2:32" s="43" customFormat="1" hidden="1">
      <c r="B308" s="17" t="s">
        <v>6</v>
      </c>
      <c r="C308" s="40" t="s">
        <v>14</v>
      </c>
      <c r="D308" s="40" t="s">
        <v>115</v>
      </c>
      <c r="E308" s="91" t="s">
        <v>116</v>
      </c>
      <c r="F308" s="40" t="s">
        <v>114</v>
      </c>
      <c r="G308" s="40"/>
      <c r="H308" s="40" t="s">
        <v>52</v>
      </c>
      <c r="I308" s="57">
        <v>2024</v>
      </c>
      <c r="J308" s="57">
        <v>12</v>
      </c>
      <c r="K308" s="29">
        <v>45666</v>
      </c>
      <c r="L308" s="66"/>
      <c r="M308" s="94">
        <f t="shared" si="257"/>
        <v>7.9365000000000005E-2</v>
      </c>
      <c r="N308" s="94">
        <f t="shared" si="258"/>
        <v>0.11869</v>
      </c>
      <c r="O308" s="94">
        <f t="shared" si="259"/>
        <v>3.9324999999999999E-2</v>
      </c>
      <c r="P308" s="68"/>
      <c r="Q308" s="100">
        <v>1</v>
      </c>
      <c r="R308" s="104">
        <f t="shared" ref="R308" si="264">Q308*M308</f>
        <v>7.9365000000000005E-2</v>
      </c>
      <c r="S308" s="73">
        <v>14772734</v>
      </c>
      <c r="T308" s="73">
        <f>S308+T309</f>
        <v>324263987</v>
      </c>
      <c r="U308" s="95">
        <f t="shared" si="261"/>
        <v>9619642.7133265045</v>
      </c>
      <c r="V308" s="95">
        <f>-268865*7.15</f>
        <v>-1922384.75</v>
      </c>
      <c r="W308" s="40" t="s">
        <v>78</v>
      </c>
      <c r="X308" s="129" t="s">
        <v>87</v>
      </c>
      <c r="Y308" s="79">
        <v>0.5</v>
      </c>
      <c r="Z308" s="79"/>
      <c r="AA308" s="79"/>
      <c r="AB308" s="80"/>
      <c r="AC308" s="95">
        <f t="shared" si="254"/>
        <v>1753375.79846</v>
      </c>
      <c r="AD308" s="87"/>
      <c r="AE308" s="77">
        <f t="shared" si="255"/>
        <v>7386.3670000000002</v>
      </c>
      <c r="AF308" s="88"/>
    </row>
    <row r="309" spans="2:32" s="43" customFormat="1" hidden="1">
      <c r="B309" s="17" t="s">
        <v>6</v>
      </c>
      <c r="C309" s="40" t="s">
        <v>14</v>
      </c>
      <c r="D309" s="40" t="s">
        <v>115</v>
      </c>
      <c r="E309" s="91" t="s">
        <v>116</v>
      </c>
      <c r="F309" s="40" t="s">
        <v>114</v>
      </c>
      <c r="G309" s="40"/>
      <c r="H309" s="40" t="s">
        <v>52</v>
      </c>
      <c r="I309" s="57">
        <v>2024</v>
      </c>
      <c r="J309" s="57">
        <v>11</v>
      </c>
      <c r="K309" s="29">
        <v>45629</v>
      </c>
      <c r="L309" s="66"/>
      <c r="M309" s="94">
        <f t="shared" si="257"/>
        <v>7.9365000000000005E-2</v>
      </c>
      <c r="N309" s="94">
        <f t="shared" si="258"/>
        <v>0.11869</v>
      </c>
      <c r="O309" s="94">
        <f t="shared" si="259"/>
        <v>3.9324999999999999E-2</v>
      </c>
      <c r="P309" s="68"/>
      <c r="Q309" s="100">
        <v>1</v>
      </c>
      <c r="R309" s="104">
        <f t="shared" si="256"/>
        <v>7.9365000000000005E-2</v>
      </c>
      <c r="S309" s="73">
        <v>10944000</v>
      </c>
      <c r="T309" s="73">
        <f>S309+T310</f>
        <v>309491253</v>
      </c>
      <c r="U309" s="95">
        <f t="shared" si="261"/>
        <v>9619642.7133265045</v>
      </c>
      <c r="V309" s="95">
        <f>-187990.6594*7.15</f>
        <v>-1344133.2147100002</v>
      </c>
      <c r="W309" s="40" t="s">
        <v>78</v>
      </c>
      <c r="X309" s="129" t="s">
        <v>87</v>
      </c>
      <c r="Y309" s="79">
        <v>0.5</v>
      </c>
      <c r="Z309" s="79"/>
      <c r="AA309" s="79"/>
      <c r="AB309" s="80"/>
      <c r="AC309" s="95">
        <f t="shared" ref="AC309" si="265">N309*S309</f>
        <v>1298943.3600000001</v>
      </c>
      <c r="AD309" s="87"/>
      <c r="AE309" s="77">
        <f t="shared" ref="AE309" si="266">S309*Y309/1000</f>
        <v>5472</v>
      </c>
      <c r="AF309" s="88"/>
    </row>
    <row r="310" spans="2:32" s="43" customFormat="1" hidden="1">
      <c r="B310" s="17" t="s">
        <v>6</v>
      </c>
      <c r="C310" s="40" t="s">
        <v>14</v>
      </c>
      <c r="D310" s="40" t="s">
        <v>115</v>
      </c>
      <c r="E310" s="91" t="s">
        <v>116</v>
      </c>
      <c r="F310" s="40" t="s">
        <v>114</v>
      </c>
      <c r="G310" s="40"/>
      <c r="H310" s="40" t="s">
        <v>52</v>
      </c>
      <c r="I310" s="57">
        <v>2024</v>
      </c>
      <c r="J310" s="57">
        <v>10</v>
      </c>
      <c r="K310" s="29">
        <v>45601</v>
      </c>
      <c r="L310" s="66"/>
      <c r="M310" s="94">
        <f t="shared" si="257"/>
        <v>7.9365000000000005E-2</v>
      </c>
      <c r="N310" s="94">
        <f t="shared" si="258"/>
        <v>0.11869</v>
      </c>
      <c r="O310" s="94">
        <f t="shared" si="259"/>
        <v>3.9324999999999999E-2</v>
      </c>
      <c r="P310" s="68"/>
      <c r="Q310" s="100">
        <v>1</v>
      </c>
      <c r="R310" s="104">
        <f t="shared" si="256"/>
        <v>7.9365000000000005E-2</v>
      </c>
      <c r="S310" s="73">
        <v>11694000</v>
      </c>
      <c r="T310" s="73">
        <f>S310+T311</f>
        <v>298547253</v>
      </c>
      <c r="U310" s="95">
        <f t="shared" si="261"/>
        <v>9619642.7133265045</v>
      </c>
      <c r="V310" s="95">
        <f>-128077.229259377*7.15</f>
        <v>-915752.18920454558</v>
      </c>
      <c r="W310" s="40" t="s">
        <v>78</v>
      </c>
      <c r="X310" s="129" t="s">
        <v>87</v>
      </c>
      <c r="Y310" s="79">
        <v>0.5</v>
      </c>
      <c r="Z310" s="79"/>
      <c r="AA310" s="79"/>
      <c r="AB310" s="80"/>
      <c r="AC310" s="95">
        <f t="shared" si="254"/>
        <v>1387960.86</v>
      </c>
      <c r="AD310" s="87"/>
      <c r="AE310" s="77">
        <f t="shared" si="255"/>
        <v>5847</v>
      </c>
      <c r="AF310" s="88"/>
    </row>
    <row r="311" spans="2:32" s="43" customFormat="1" hidden="1">
      <c r="B311" s="17" t="s">
        <v>6</v>
      </c>
      <c r="C311" s="40" t="s">
        <v>14</v>
      </c>
      <c r="D311" s="40" t="s">
        <v>115</v>
      </c>
      <c r="E311" s="91" t="s">
        <v>116</v>
      </c>
      <c r="F311" s="40" t="s">
        <v>114</v>
      </c>
      <c r="G311" s="40"/>
      <c r="H311" s="40" t="s">
        <v>52</v>
      </c>
      <c r="I311" s="57">
        <v>2024</v>
      </c>
      <c r="J311" s="57">
        <v>9</v>
      </c>
      <c r="K311" s="29">
        <v>45597</v>
      </c>
      <c r="L311" s="66"/>
      <c r="M311" s="94">
        <f t="shared" si="257"/>
        <v>7.9365000000000005E-2</v>
      </c>
      <c r="N311" s="94">
        <f t="shared" si="258"/>
        <v>0.11869</v>
      </c>
      <c r="O311" s="94">
        <f t="shared" si="259"/>
        <v>3.9324999999999999E-2</v>
      </c>
      <c r="P311" s="68">
        <f>L311*O311</f>
        <v>0</v>
      </c>
      <c r="Q311" s="100">
        <v>1</v>
      </c>
      <c r="R311" s="104">
        <f t="shared" si="256"/>
        <v>7.9365000000000005E-2</v>
      </c>
      <c r="S311" s="73">
        <v>9592547</v>
      </c>
      <c r="T311" s="73">
        <v>286853253</v>
      </c>
      <c r="U311" s="95">
        <f t="shared" si="261"/>
        <v>9619642.7133265045</v>
      </c>
      <c r="V311" s="95">
        <f>-64057.8896798941*7.15</f>
        <v>-458013.91121124284</v>
      </c>
      <c r="W311" s="40" t="s">
        <v>78</v>
      </c>
      <c r="X311" s="129" t="s">
        <v>87</v>
      </c>
      <c r="Y311" s="79">
        <v>0.5</v>
      </c>
      <c r="Z311" s="79"/>
      <c r="AA311" s="79"/>
      <c r="AB311" s="80"/>
      <c r="AC311" s="95">
        <f>N311*S311</f>
        <v>1138539.4034299999</v>
      </c>
      <c r="AD311" s="87"/>
      <c r="AE311" s="77">
        <f>S311*Y311/1000</f>
        <v>4796.2735000000002</v>
      </c>
      <c r="AF311" s="88"/>
    </row>
    <row r="312" spans="2:32" s="43" customFormat="1" hidden="1">
      <c r="B312" s="17" t="s">
        <v>6</v>
      </c>
      <c r="C312" s="40" t="s">
        <v>14</v>
      </c>
      <c r="D312" s="40" t="s">
        <v>115</v>
      </c>
      <c r="E312" s="91" t="s">
        <v>116</v>
      </c>
      <c r="F312" s="40" t="s">
        <v>114</v>
      </c>
      <c r="G312" s="40"/>
      <c r="H312" s="40" t="s">
        <v>52</v>
      </c>
      <c r="I312" s="57">
        <v>2024</v>
      </c>
      <c r="J312" s="57">
        <v>8</v>
      </c>
      <c r="K312" s="29">
        <v>45597</v>
      </c>
      <c r="L312" s="66"/>
      <c r="M312" s="94">
        <f t="shared" si="257"/>
        <v>7.9365000000000005E-2</v>
      </c>
      <c r="N312" s="94">
        <f t="shared" si="258"/>
        <v>0.11869</v>
      </c>
      <c r="O312" s="94">
        <f t="shared" si="259"/>
        <v>3.9324999999999999E-2</v>
      </c>
      <c r="P312" s="68"/>
      <c r="Q312" s="100">
        <v>1</v>
      </c>
      <c r="R312" s="104">
        <f t="shared" si="256"/>
        <v>7.9365000000000005E-2</v>
      </c>
      <c r="S312" s="73">
        <v>9882000</v>
      </c>
      <c r="T312" s="73">
        <f t="shared" ref="T312:T330" si="267">S312+T313</f>
        <v>277260706</v>
      </c>
      <c r="U312" s="95">
        <f t="shared" si="261"/>
        <v>9619642.7133265045</v>
      </c>
      <c r="V312" s="95">
        <f>-11543.0509741344*7.15</f>
        <v>-82532.814465060961</v>
      </c>
      <c r="W312" s="40" t="s">
        <v>78</v>
      </c>
      <c r="X312" s="129" t="s">
        <v>87</v>
      </c>
      <c r="Y312" s="79">
        <v>0.5</v>
      </c>
      <c r="Z312" s="79"/>
      <c r="AA312" s="79"/>
      <c r="AB312" s="80"/>
      <c r="AC312" s="95">
        <f t="shared" ref="AC312:AC336" si="268">N312*S312</f>
        <v>1172894.58</v>
      </c>
      <c r="AD312" s="87"/>
      <c r="AE312" s="77">
        <f t="shared" ref="AE312:AE336" si="269">S312*Y312/1000</f>
        <v>4941</v>
      </c>
      <c r="AF312" s="88"/>
    </row>
    <row r="313" spans="2:32" s="43" customFormat="1" hidden="1">
      <c r="B313" s="17" t="s">
        <v>6</v>
      </c>
      <c r="C313" s="40" t="s">
        <v>14</v>
      </c>
      <c r="D313" s="40" t="s">
        <v>115</v>
      </c>
      <c r="E313" s="91" t="s">
        <v>116</v>
      </c>
      <c r="F313" s="40" t="s">
        <v>114</v>
      </c>
      <c r="G313" s="40"/>
      <c r="H313" s="40" t="s">
        <v>52</v>
      </c>
      <c r="I313" s="57">
        <v>2024</v>
      </c>
      <c r="J313" s="57">
        <v>7</v>
      </c>
      <c r="K313" s="29">
        <v>45597</v>
      </c>
      <c r="L313" s="66"/>
      <c r="M313" s="94">
        <f t="shared" si="257"/>
        <v>7.9365000000000005E-2</v>
      </c>
      <c r="N313" s="94">
        <f t="shared" si="258"/>
        <v>0.11869</v>
      </c>
      <c r="O313" s="94">
        <f t="shared" si="259"/>
        <v>3.9324999999999999E-2</v>
      </c>
      <c r="P313" s="68"/>
      <c r="Q313" s="100">
        <v>1</v>
      </c>
      <c r="R313" s="104">
        <f t="shared" si="256"/>
        <v>7.9365000000000005E-2</v>
      </c>
      <c r="S313" s="73">
        <v>14445489</v>
      </c>
      <c r="T313" s="73">
        <f t="shared" si="267"/>
        <v>267378706</v>
      </c>
      <c r="U313" s="95">
        <f t="shared" si="261"/>
        <v>9619642.7133265045</v>
      </c>
      <c r="V313" s="95">
        <f>42556.4114616834*7.15</f>
        <v>304278.3419510363</v>
      </c>
      <c r="W313" s="40" t="s">
        <v>78</v>
      </c>
      <c r="X313" s="129" t="s">
        <v>87</v>
      </c>
      <c r="Y313" s="79">
        <v>0.5</v>
      </c>
      <c r="Z313" s="79"/>
      <c r="AA313" s="79"/>
      <c r="AB313" s="80"/>
      <c r="AC313" s="95">
        <f t="shared" si="268"/>
        <v>1714535.08941</v>
      </c>
      <c r="AD313" s="87"/>
      <c r="AE313" s="77">
        <f t="shared" si="269"/>
        <v>7222.7444999999998</v>
      </c>
      <c r="AF313" s="88"/>
    </row>
    <row r="314" spans="2:32" s="43" customFormat="1" hidden="1">
      <c r="B314" s="17" t="s">
        <v>6</v>
      </c>
      <c r="C314" s="40" t="s">
        <v>14</v>
      </c>
      <c r="D314" s="40" t="s">
        <v>115</v>
      </c>
      <c r="E314" s="91" t="s">
        <v>116</v>
      </c>
      <c r="F314" s="40" t="s">
        <v>114</v>
      </c>
      <c r="G314" s="40"/>
      <c r="H314" s="40" t="s">
        <v>52</v>
      </c>
      <c r="I314" s="57">
        <v>2024</v>
      </c>
      <c r="J314" s="57">
        <v>6</v>
      </c>
      <c r="K314" s="29">
        <v>45597</v>
      </c>
      <c r="L314" s="66"/>
      <c r="M314" s="94">
        <f t="shared" si="257"/>
        <v>7.9365000000000005E-2</v>
      </c>
      <c r="N314" s="94">
        <f t="shared" si="258"/>
        <v>0.11869</v>
      </c>
      <c r="O314" s="94">
        <f t="shared" si="259"/>
        <v>3.9324999999999999E-2</v>
      </c>
      <c r="P314" s="68"/>
      <c r="Q314" s="100">
        <v>1</v>
      </c>
      <c r="R314" s="104">
        <f t="shared" si="256"/>
        <v>7.9365000000000005E-2</v>
      </c>
      <c r="S314" s="73">
        <v>9990000</v>
      </c>
      <c r="T314" s="73">
        <f t="shared" si="267"/>
        <v>252933217</v>
      </c>
      <c r="U314" s="95">
        <f t="shared" si="261"/>
        <v>9619642.7133265045</v>
      </c>
      <c r="V314" s="95">
        <f>121638.903823809*7.15</f>
        <v>869718.16234023438</v>
      </c>
      <c r="W314" s="40" t="s">
        <v>78</v>
      </c>
      <c r="X314" s="129" t="s">
        <v>87</v>
      </c>
      <c r="Y314" s="79">
        <v>0.5</v>
      </c>
      <c r="Z314" s="79"/>
      <c r="AA314" s="79"/>
      <c r="AB314" s="80"/>
      <c r="AC314" s="95">
        <f t="shared" si="268"/>
        <v>1185713.1000000001</v>
      </c>
      <c r="AD314" s="87"/>
      <c r="AE314" s="77">
        <f t="shared" si="269"/>
        <v>4995</v>
      </c>
      <c r="AF314" s="88"/>
    </row>
    <row r="315" spans="2:32" s="43" customFormat="1" hidden="1">
      <c r="B315" s="17" t="s">
        <v>6</v>
      </c>
      <c r="C315" s="40" t="s">
        <v>14</v>
      </c>
      <c r="D315" s="40" t="s">
        <v>115</v>
      </c>
      <c r="E315" s="91" t="s">
        <v>116</v>
      </c>
      <c r="F315" s="40" t="s">
        <v>114</v>
      </c>
      <c r="G315" s="40"/>
      <c r="H315" s="40" t="s">
        <v>52</v>
      </c>
      <c r="I315" s="57">
        <v>2024</v>
      </c>
      <c r="J315" s="57">
        <v>5</v>
      </c>
      <c r="K315" s="29">
        <v>45597</v>
      </c>
      <c r="L315" s="66"/>
      <c r="M315" s="94">
        <f t="shared" si="257"/>
        <v>7.9365000000000005E-2</v>
      </c>
      <c r="N315" s="94">
        <f t="shared" si="258"/>
        <v>0.11869</v>
      </c>
      <c r="O315" s="94">
        <f t="shared" si="259"/>
        <v>3.9324999999999999E-2</v>
      </c>
      <c r="P315" s="68"/>
      <c r="Q315" s="100">
        <v>1</v>
      </c>
      <c r="R315" s="104">
        <f t="shared" si="256"/>
        <v>7.9365000000000005E-2</v>
      </c>
      <c r="S315" s="73">
        <v>18052347</v>
      </c>
      <c r="T315" s="73">
        <f t="shared" si="267"/>
        <v>242943217</v>
      </c>
      <c r="U315" s="95">
        <f t="shared" si="261"/>
        <v>9619642.7133265045</v>
      </c>
      <c r="V315" s="95">
        <f>176329.617215209*7.15</f>
        <v>1260756.7630887444</v>
      </c>
      <c r="W315" s="40" t="s">
        <v>78</v>
      </c>
      <c r="X315" s="129" t="s">
        <v>87</v>
      </c>
      <c r="Y315" s="79">
        <v>0.5</v>
      </c>
      <c r="Z315" s="79"/>
      <c r="AA315" s="79"/>
      <c r="AB315" s="80"/>
      <c r="AC315" s="95">
        <f t="shared" si="268"/>
        <v>2142633.06543</v>
      </c>
      <c r="AD315" s="87"/>
      <c r="AE315" s="77">
        <f t="shared" si="269"/>
        <v>9026.1735000000008</v>
      </c>
      <c r="AF315" s="88"/>
    </row>
    <row r="316" spans="2:32" s="43" customFormat="1" hidden="1">
      <c r="B316" s="17" t="s">
        <v>6</v>
      </c>
      <c r="C316" s="40" t="s">
        <v>14</v>
      </c>
      <c r="D316" s="40" t="s">
        <v>115</v>
      </c>
      <c r="E316" s="91" t="s">
        <v>116</v>
      </c>
      <c r="F316" s="40" t="s">
        <v>114</v>
      </c>
      <c r="G316" s="40"/>
      <c r="H316" s="40" t="s">
        <v>52</v>
      </c>
      <c r="I316" s="57">
        <v>2024</v>
      </c>
      <c r="J316" s="57">
        <v>4</v>
      </c>
      <c r="K316" s="29">
        <v>45597</v>
      </c>
      <c r="L316" s="66"/>
      <c r="M316" s="94">
        <f t="shared" si="257"/>
        <v>7.9365000000000005E-2</v>
      </c>
      <c r="N316" s="94">
        <f t="shared" si="258"/>
        <v>0.11869</v>
      </c>
      <c r="O316" s="94">
        <f t="shared" si="259"/>
        <v>3.9324999999999999E-2</v>
      </c>
      <c r="P316" s="68"/>
      <c r="Q316" s="100">
        <v>1</v>
      </c>
      <c r="R316" s="104">
        <f t="shared" si="256"/>
        <v>7.9365000000000005E-2</v>
      </c>
      <c r="S316" s="73">
        <v>8370000</v>
      </c>
      <c r="T316" s="73">
        <f t="shared" si="267"/>
        <v>224890870</v>
      </c>
      <c r="U316" s="95">
        <f t="shared" si="261"/>
        <v>9619642.7133265045</v>
      </c>
      <c r="V316" s="95">
        <f>275158.019199104*7.15</f>
        <v>1967379.8372735935</v>
      </c>
      <c r="W316" s="40" t="s">
        <v>78</v>
      </c>
      <c r="X316" s="129" t="s">
        <v>87</v>
      </c>
      <c r="Y316" s="79">
        <v>0.5</v>
      </c>
      <c r="Z316" s="79"/>
      <c r="AA316" s="79"/>
      <c r="AB316" s="80"/>
      <c r="AC316" s="95">
        <f t="shared" si="268"/>
        <v>993435.3</v>
      </c>
      <c r="AD316" s="87"/>
      <c r="AE316" s="77">
        <f t="shared" si="269"/>
        <v>4185</v>
      </c>
      <c r="AF316" s="88"/>
    </row>
    <row r="317" spans="2:32" s="43" customFormat="1" hidden="1">
      <c r="B317" s="17" t="s">
        <v>6</v>
      </c>
      <c r="C317" s="40" t="s">
        <v>14</v>
      </c>
      <c r="D317" s="40" t="s">
        <v>115</v>
      </c>
      <c r="E317" s="91" t="s">
        <v>116</v>
      </c>
      <c r="F317" s="40" t="s">
        <v>114</v>
      </c>
      <c r="G317" s="40"/>
      <c r="H317" s="40" t="s">
        <v>52</v>
      </c>
      <c r="I317" s="57">
        <v>2024</v>
      </c>
      <c r="J317" s="57">
        <v>3</v>
      </c>
      <c r="K317" s="29">
        <v>45597</v>
      </c>
      <c r="L317" s="66"/>
      <c r="M317" s="94">
        <f t="shared" si="257"/>
        <v>7.9365000000000005E-2</v>
      </c>
      <c r="N317" s="94">
        <f t="shared" si="258"/>
        <v>0.11869</v>
      </c>
      <c r="O317" s="94">
        <f t="shared" si="259"/>
        <v>3.9324999999999999E-2</v>
      </c>
      <c r="P317" s="68"/>
      <c r="Q317" s="100">
        <v>1</v>
      </c>
      <c r="R317" s="104">
        <f t="shared" si="256"/>
        <v>7.9365000000000005E-2</v>
      </c>
      <c r="S317" s="73">
        <v>12618000</v>
      </c>
      <c r="T317" s="73">
        <f t="shared" si="267"/>
        <v>216520870</v>
      </c>
      <c r="U317" s="95">
        <f t="shared" si="261"/>
        <v>9619642.7133265045</v>
      </c>
      <c r="V317" s="95">
        <f>320979.968256764*7.15</f>
        <v>2295006.7730358625</v>
      </c>
      <c r="W317" s="40" t="s">
        <v>78</v>
      </c>
      <c r="X317" s="129" t="s">
        <v>87</v>
      </c>
      <c r="Y317" s="79">
        <v>0.5</v>
      </c>
      <c r="Z317" s="79"/>
      <c r="AA317" s="79"/>
      <c r="AB317" s="80"/>
      <c r="AC317" s="95">
        <f t="shared" si="268"/>
        <v>1497630.4200000002</v>
      </c>
      <c r="AD317" s="87"/>
      <c r="AE317" s="77">
        <f t="shared" si="269"/>
        <v>6309</v>
      </c>
      <c r="AF317" s="88"/>
    </row>
    <row r="318" spans="2:32" s="43" customFormat="1" hidden="1">
      <c r="B318" s="17" t="s">
        <v>6</v>
      </c>
      <c r="C318" s="40" t="s">
        <v>14</v>
      </c>
      <c r="D318" s="40" t="s">
        <v>115</v>
      </c>
      <c r="E318" s="91" t="s">
        <v>116</v>
      </c>
      <c r="F318" s="40" t="s">
        <v>114</v>
      </c>
      <c r="G318" s="40"/>
      <c r="H318" s="40" t="s">
        <v>52</v>
      </c>
      <c r="I318" s="57">
        <v>2024</v>
      </c>
      <c r="J318" s="57">
        <v>2</v>
      </c>
      <c r="K318" s="29">
        <v>45597</v>
      </c>
      <c r="L318" s="66"/>
      <c r="M318" s="94">
        <f t="shared" si="257"/>
        <v>7.9365000000000005E-2</v>
      </c>
      <c r="N318" s="94">
        <f t="shared" si="258"/>
        <v>0.11869</v>
      </c>
      <c r="O318" s="94">
        <f t="shared" si="259"/>
        <v>3.9324999999999999E-2</v>
      </c>
      <c r="P318" s="68"/>
      <c r="Q318" s="100">
        <v>1</v>
      </c>
      <c r="R318" s="104">
        <f t="shared" si="256"/>
        <v>7.9365000000000005E-2</v>
      </c>
      <c r="S318" s="73">
        <v>11873211</v>
      </c>
      <c r="T318" s="73">
        <f t="shared" si="267"/>
        <v>203902870</v>
      </c>
      <c r="U318" s="95">
        <f t="shared" si="261"/>
        <v>9619642.7133265045</v>
      </c>
      <c r="V318" s="95">
        <f>390057.78823401*7.15</f>
        <v>2788913.1858731718</v>
      </c>
      <c r="W318" s="40" t="s">
        <v>78</v>
      </c>
      <c r="X318" s="129" t="s">
        <v>87</v>
      </c>
      <c r="Y318" s="79">
        <v>0.5</v>
      </c>
      <c r="Z318" s="79"/>
      <c r="AA318" s="79"/>
      <c r="AB318" s="80"/>
      <c r="AC318" s="95">
        <f t="shared" si="268"/>
        <v>1409231.41359</v>
      </c>
      <c r="AD318" s="87"/>
      <c r="AE318" s="77">
        <f t="shared" si="269"/>
        <v>5936.6054999999997</v>
      </c>
      <c r="AF318" s="88"/>
    </row>
    <row r="319" spans="2:32" s="43" customFormat="1" hidden="1">
      <c r="B319" s="17" t="s">
        <v>6</v>
      </c>
      <c r="C319" s="40" t="s">
        <v>14</v>
      </c>
      <c r="D319" s="40" t="s">
        <v>115</v>
      </c>
      <c r="E319" s="91" t="s">
        <v>116</v>
      </c>
      <c r="F319" s="40" t="s">
        <v>114</v>
      </c>
      <c r="G319" s="40"/>
      <c r="H319" s="40" t="s">
        <v>52</v>
      </c>
      <c r="I319" s="57">
        <v>2024</v>
      </c>
      <c r="J319" s="57">
        <v>1</v>
      </c>
      <c r="K319" s="29">
        <v>45597</v>
      </c>
      <c r="L319" s="66"/>
      <c r="M319" s="94">
        <f t="shared" si="257"/>
        <v>7.9365000000000005E-2</v>
      </c>
      <c r="N319" s="94">
        <f t="shared" si="258"/>
        <v>0.11869</v>
      </c>
      <c r="O319" s="94">
        <f t="shared" si="259"/>
        <v>3.9324999999999999E-2</v>
      </c>
      <c r="P319" s="68"/>
      <c r="Q319" s="100">
        <v>1</v>
      </c>
      <c r="R319" s="104">
        <f t="shared" si="256"/>
        <v>7.9365000000000005E-2</v>
      </c>
      <c r="S319" s="73">
        <v>12204000</v>
      </c>
      <c r="T319" s="73">
        <f t="shared" si="267"/>
        <v>192029659</v>
      </c>
      <c r="U319" s="95">
        <f t="shared" si="261"/>
        <v>9619642.7133265045</v>
      </c>
      <c r="V319" s="95">
        <f>455058.226656095*7.15</f>
        <v>3253666.3205910795</v>
      </c>
      <c r="W319" s="40" t="s">
        <v>78</v>
      </c>
      <c r="X319" s="129" t="s">
        <v>87</v>
      </c>
      <c r="Y319" s="79">
        <v>0.5</v>
      </c>
      <c r="Z319" s="79"/>
      <c r="AA319" s="79"/>
      <c r="AB319" s="80"/>
      <c r="AC319" s="95">
        <f t="shared" si="268"/>
        <v>1448492.76</v>
      </c>
      <c r="AD319" s="87"/>
      <c r="AE319" s="77">
        <f t="shared" si="269"/>
        <v>6102</v>
      </c>
      <c r="AF319" s="88"/>
    </row>
    <row r="320" spans="2:32" s="43" customFormat="1" hidden="1">
      <c r="B320" s="17" t="s">
        <v>6</v>
      </c>
      <c r="C320" s="40" t="s">
        <v>14</v>
      </c>
      <c r="D320" s="40" t="s">
        <v>115</v>
      </c>
      <c r="E320" s="91" t="s">
        <v>116</v>
      </c>
      <c r="F320" s="40" t="s">
        <v>114</v>
      </c>
      <c r="G320" s="40"/>
      <c r="H320" s="40" t="s">
        <v>52</v>
      </c>
      <c r="I320" s="57">
        <v>2023</v>
      </c>
      <c r="J320" s="57">
        <v>12</v>
      </c>
      <c r="K320" s="29">
        <v>45597</v>
      </c>
      <c r="L320" s="66"/>
      <c r="M320" s="94">
        <f t="shared" si="257"/>
        <v>7.9365000000000005E-2</v>
      </c>
      <c r="N320" s="94">
        <f t="shared" si="258"/>
        <v>0.11869</v>
      </c>
      <c r="O320" s="94">
        <f t="shared" si="259"/>
        <v>3.9324999999999999E-2</v>
      </c>
      <c r="P320" s="68"/>
      <c r="Q320" s="100">
        <v>1</v>
      </c>
      <c r="R320" s="104">
        <f t="shared" si="256"/>
        <v>7.9365000000000005E-2</v>
      </c>
      <c r="S320" s="73">
        <v>10115104</v>
      </c>
      <c r="T320" s="73">
        <f t="shared" si="267"/>
        <v>179825659</v>
      </c>
      <c r="U320" s="95">
        <f t="shared" si="261"/>
        <v>9619642.7133265045</v>
      </c>
      <c r="V320" s="95">
        <f>521869.584636941*7.15</f>
        <v>3731367.5301541286</v>
      </c>
      <c r="W320" s="40" t="s">
        <v>78</v>
      </c>
      <c r="X320" s="129" t="s">
        <v>87</v>
      </c>
      <c r="Y320" s="79">
        <v>0.5</v>
      </c>
      <c r="Z320" s="79"/>
      <c r="AA320" s="79"/>
      <c r="AB320" s="80"/>
      <c r="AC320" s="95">
        <f t="shared" si="268"/>
        <v>1200561.6937599999</v>
      </c>
      <c r="AD320" s="87"/>
      <c r="AE320" s="77">
        <f t="shared" si="269"/>
        <v>5057.5519999999997</v>
      </c>
      <c r="AF320" s="88"/>
    </row>
    <row r="321" spans="2:32" s="43" customFormat="1" hidden="1">
      <c r="B321" s="17" t="s">
        <v>6</v>
      </c>
      <c r="C321" s="40" t="s">
        <v>14</v>
      </c>
      <c r="D321" s="40" t="s">
        <v>115</v>
      </c>
      <c r="E321" s="91" t="s">
        <v>116</v>
      </c>
      <c r="F321" s="40" t="s">
        <v>114</v>
      </c>
      <c r="G321" s="40"/>
      <c r="H321" s="40" t="s">
        <v>52</v>
      </c>
      <c r="I321" s="57">
        <v>2023</v>
      </c>
      <c r="J321" s="57">
        <v>11</v>
      </c>
      <c r="K321" s="29">
        <v>45597</v>
      </c>
      <c r="L321" s="66"/>
      <c r="M321" s="94">
        <f t="shared" si="257"/>
        <v>7.9365000000000005E-2</v>
      </c>
      <c r="N321" s="94">
        <f t="shared" si="258"/>
        <v>0.11869</v>
      </c>
      <c r="O321" s="94">
        <f t="shared" si="259"/>
        <v>3.9324999999999999E-2</v>
      </c>
      <c r="P321" s="68"/>
      <c r="Q321" s="100">
        <v>1</v>
      </c>
      <c r="R321" s="104">
        <f t="shared" si="256"/>
        <v>7.9365000000000005E-2</v>
      </c>
      <c r="S321" s="73">
        <v>8100000</v>
      </c>
      <c r="T321" s="73">
        <f t="shared" si="267"/>
        <v>169710555</v>
      </c>
      <c r="U321" s="95">
        <f t="shared" si="261"/>
        <v>9619642.7133265045</v>
      </c>
      <c r="V321" s="95">
        <f>577245.185616742*7.15</f>
        <v>4127303.0771597056</v>
      </c>
      <c r="W321" s="40" t="s">
        <v>78</v>
      </c>
      <c r="X321" s="129" t="s">
        <v>87</v>
      </c>
      <c r="Y321" s="79">
        <v>0.5</v>
      </c>
      <c r="Z321" s="79"/>
      <c r="AA321" s="79"/>
      <c r="AB321" s="80"/>
      <c r="AC321" s="95">
        <f t="shared" si="268"/>
        <v>961389</v>
      </c>
      <c r="AD321" s="87"/>
      <c r="AE321" s="77">
        <f t="shared" si="269"/>
        <v>4050</v>
      </c>
      <c r="AF321" s="88"/>
    </row>
    <row r="322" spans="2:32" s="43" customFormat="1" hidden="1">
      <c r="B322" s="17" t="s">
        <v>6</v>
      </c>
      <c r="C322" s="40" t="s">
        <v>14</v>
      </c>
      <c r="D322" s="40" t="s">
        <v>115</v>
      </c>
      <c r="E322" s="91" t="s">
        <v>116</v>
      </c>
      <c r="F322" s="40" t="s">
        <v>114</v>
      </c>
      <c r="G322" s="40"/>
      <c r="H322" s="40" t="s">
        <v>52</v>
      </c>
      <c r="I322" s="57">
        <v>2023</v>
      </c>
      <c r="J322" s="57">
        <v>10</v>
      </c>
      <c r="K322" s="29">
        <v>45597</v>
      </c>
      <c r="L322" s="66"/>
      <c r="M322" s="94">
        <f t="shared" si="257"/>
        <v>7.9365000000000005E-2</v>
      </c>
      <c r="N322" s="94">
        <f t="shared" si="258"/>
        <v>0.11869</v>
      </c>
      <c r="O322" s="94">
        <f t="shared" si="259"/>
        <v>3.9324999999999999E-2</v>
      </c>
      <c r="P322" s="68"/>
      <c r="Q322" s="100">
        <v>1</v>
      </c>
      <c r="R322" s="104">
        <f t="shared" si="256"/>
        <v>7.9365000000000005E-2</v>
      </c>
      <c r="S322" s="73">
        <v>5130000</v>
      </c>
      <c r="T322" s="73">
        <f t="shared" si="267"/>
        <v>161610555</v>
      </c>
      <c r="U322" s="95">
        <f t="shared" si="261"/>
        <v>9619642.7133265045</v>
      </c>
      <c r="V322" s="95">
        <f>621589.007285445*7.15</f>
        <v>4444361.4020909322</v>
      </c>
      <c r="W322" s="40" t="s">
        <v>78</v>
      </c>
      <c r="X322" s="129" t="s">
        <v>87</v>
      </c>
      <c r="Y322" s="79">
        <v>0.5</v>
      </c>
      <c r="Z322" s="79"/>
      <c r="AA322" s="79"/>
      <c r="AB322" s="80"/>
      <c r="AC322" s="95">
        <f t="shared" si="268"/>
        <v>608879.70000000007</v>
      </c>
      <c r="AD322" s="87"/>
      <c r="AE322" s="77">
        <f t="shared" si="269"/>
        <v>2565</v>
      </c>
      <c r="AF322" s="88"/>
    </row>
    <row r="323" spans="2:32" s="43" customFormat="1" hidden="1">
      <c r="B323" s="17" t="s">
        <v>6</v>
      </c>
      <c r="C323" s="40" t="s">
        <v>14</v>
      </c>
      <c r="D323" s="40" t="s">
        <v>115</v>
      </c>
      <c r="E323" s="91" t="s">
        <v>116</v>
      </c>
      <c r="F323" s="40" t="s">
        <v>114</v>
      </c>
      <c r="G323" s="40"/>
      <c r="H323" s="40" t="s">
        <v>52</v>
      </c>
      <c r="I323" s="57">
        <v>2023</v>
      </c>
      <c r="J323" s="57">
        <v>9</v>
      </c>
      <c r="K323" s="29">
        <v>45597</v>
      </c>
      <c r="L323" s="66"/>
      <c r="M323" s="94">
        <f t="shared" si="257"/>
        <v>7.9365000000000005E-2</v>
      </c>
      <c r="N323" s="94">
        <f t="shared" si="258"/>
        <v>0.11869</v>
      </c>
      <c r="O323" s="94">
        <f t="shared" si="259"/>
        <v>3.9324999999999999E-2</v>
      </c>
      <c r="P323" s="68"/>
      <c r="Q323" s="100">
        <v>1</v>
      </c>
      <c r="R323" s="104">
        <f t="shared" si="256"/>
        <v>7.9365000000000005E-2</v>
      </c>
      <c r="S323" s="73">
        <v>4853211</v>
      </c>
      <c r="T323" s="73">
        <f t="shared" si="267"/>
        <v>156480555</v>
      </c>
      <c r="U323" s="95">
        <f t="shared" si="261"/>
        <v>9619642.7133265045</v>
      </c>
      <c r="V323" s="95">
        <f>649673.427675623*7.15</f>
        <v>4645165.0078807045</v>
      </c>
      <c r="W323" s="40" t="s">
        <v>78</v>
      </c>
      <c r="X323" s="129" t="s">
        <v>87</v>
      </c>
      <c r="Y323" s="79">
        <v>0.5</v>
      </c>
      <c r="Z323" s="79"/>
      <c r="AA323" s="79"/>
      <c r="AB323" s="80"/>
      <c r="AC323" s="95">
        <f t="shared" si="268"/>
        <v>576027.61358999996</v>
      </c>
      <c r="AD323" s="87"/>
      <c r="AE323" s="77">
        <f t="shared" si="269"/>
        <v>2426.6055000000001</v>
      </c>
      <c r="AF323" s="88"/>
    </row>
    <row r="324" spans="2:32" s="43" customFormat="1" hidden="1">
      <c r="B324" s="17" t="s">
        <v>6</v>
      </c>
      <c r="C324" s="40" t="s">
        <v>14</v>
      </c>
      <c r="D324" s="40" t="s">
        <v>115</v>
      </c>
      <c r="E324" s="91" t="s">
        <v>116</v>
      </c>
      <c r="F324" s="40" t="s">
        <v>114</v>
      </c>
      <c r="G324" s="40"/>
      <c r="H324" s="40" t="s">
        <v>52</v>
      </c>
      <c r="I324" s="57">
        <v>2023</v>
      </c>
      <c r="J324" s="57">
        <v>8</v>
      </c>
      <c r="K324" s="29">
        <v>45597</v>
      </c>
      <c r="L324" s="66"/>
      <c r="M324" s="94">
        <f t="shared" si="257"/>
        <v>7.9365000000000005E-2</v>
      </c>
      <c r="N324" s="94">
        <f t="shared" si="258"/>
        <v>0.11869</v>
      </c>
      <c r="O324" s="94">
        <f t="shared" si="259"/>
        <v>3.9324999999999999E-2</v>
      </c>
      <c r="P324" s="68"/>
      <c r="Q324" s="100">
        <v>1</v>
      </c>
      <c r="R324" s="104">
        <f t="shared" si="256"/>
        <v>7.9365000000000005E-2</v>
      </c>
      <c r="S324" s="73">
        <v>8370000</v>
      </c>
      <c r="T324" s="73">
        <f t="shared" si="267"/>
        <v>151627344</v>
      </c>
      <c r="U324" s="95">
        <f t="shared" si="261"/>
        <v>9619642.7133265045</v>
      </c>
      <c r="V324" s="95">
        <f>676242.553984832*7.15</f>
        <v>4835134.2609915491</v>
      </c>
      <c r="W324" s="40" t="s">
        <v>78</v>
      </c>
      <c r="X324" s="129" t="s">
        <v>87</v>
      </c>
      <c r="Y324" s="79">
        <v>0.5</v>
      </c>
      <c r="Z324" s="79"/>
      <c r="AA324" s="79"/>
      <c r="AB324" s="80"/>
      <c r="AC324" s="95">
        <f t="shared" si="268"/>
        <v>993435.3</v>
      </c>
      <c r="AD324" s="87"/>
      <c r="AE324" s="77">
        <f t="shared" si="269"/>
        <v>4185</v>
      </c>
      <c r="AF324" s="88"/>
    </row>
    <row r="325" spans="2:32" s="43" customFormat="1" hidden="1">
      <c r="B325" s="17" t="s">
        <v>6</v>
      </c>
      <c r="C325" s="40" t="s">
        <v>14</v>
      </c>
      <c r="D325" s="40" t="s">
        <v>115</v>
      </c>
      <c r="E325" s="91" t="s">
        <v>116</v>
      </c>
      <c r="F325" s="40" t="s">
        <v>114</v>
      </c>
      <c r="G325" s="40"/>
      <c r="H325" s="40" t="s">
        <v>52</v>
      </c>
      <c r="I325" s="57">
        <v>2023</v>
      </c>
      <c r="J325" s="57">
        <v>7</v>
      </c>
      <c r="K325" s="29">
        <v>45597</v>
      </c>
      <c r="L325" s="66"/>
      <c r="M325" s="94">
        <f t="shared" si="257"/>
        <v>7.9365000000000005E-2</v>
      </c>
      <c r="N325" s="94">
        <f t="shared" si="258"/>
        <v>0.11869</v>
      </c>
      <c r="O325" s="94">
        <f t="shared" si="259"/>
        <v>3.9324999999999999E-2</v>
      </c>
      <c r="P325" s="68"/>
      <c r="Q325" s="100">
        <v>1</v>
      </c>
      <c r="R325" s="104">
        <f t="shared" si="256"/>
        <v>7.9365000000000005E-2</v>
      </c>
      <c r="S325" s="73">
        <v>9900000</v>
      </c>
      <c r="T325" s="73">
        <f t="shared" si="267"/>
        <v>143257344</v>
      </c>
      <c r="U325" s="95">
        <f t="shared" si="261"/>
        <v>9619642.7133265045</v>
      </c>
      <c r="V325" s="95">
        <f>722064.503042492*7.15</f>
        <v>5162761.1967538176</v>
      </c>
      <c r="W325" s="40" t="s">
        <v>78</v>
      </c>
      <c r="X325" s="129" t="s">
        <v>87</v>
      </c>
      <c r="Y325" s="79">
        <v>0.5</v>
      </c>
      <c r="Z325" s="79"/>
      <c r="AA325" s="79"/>
      <c r="AB325" s="80"/>
      <c r="AC325" s="95">
        <f t="shared" si="268"/>
        <v>1175031</v>
      </c>
      <c r="AD325" s="87"/>
      <c r="AE325" s="77">
        <f t="shared" si="269"/>
        <v>4950</v>
      </c>
      <c r="AF325" s="88"/>
    </row>
    <row r="326" spans="2:32" s="43" customFormat="1" hidden="1">
      <c r="B326" s="17" t="s">
        <v>6</v>
      </c>
      <c r="C326" s="40" t="s">
        <v>14</v>
      </c>
      <c r="D326" s="40" t="s">
        <v>115</v>
      </c>
      <c r="E326" s="91" t="s">
        <v>116</v>
      </c>
      <c r="F326" s="40" t="s">
        <v>114</v>
      </c>
      <c r="G326" s="40"/>
      <c r="H326" s="40" t="s">
        <v>52</v>
      </c>
      <c r="I326" s="57">
        <v>2023</v>
      </c>
      <c r="J326" s="57">
        <v>6</v>
      </c>
      <c r="K326" s="29">
        <v>45597</v>
      </c>
      <c r="L326" s="66"/>
      <c r="M326" s="94">
        <f t="shared" si="257"/>
        <v>7.9365000000000005E-2</v>
      </c>
      <c r="N326" s="94">
        <f t="shared" si="258"/>
        <v>0.11869</v>
      </c>
      <c r="O326" s="94">
        <f t="shared" si="259"/>
        <v>3.9324999999999999E-2</v>
      </c>
      <c r="P326" s="68"/>
      <c r="Q326" s="100">
        <v>1</v>
      </c>
      <c r="R326" s="104">
        <f t="shared" si="256"/>
        <v>7.9365000000000005E-2</v>
      </c>
      <c r="S326" s="73">
        <v>12563523</v>
      </c>
      <c r="T326" s="73">
        <f t="shared" si="267"/>
        <v>133357344</v>
      </c>
      <c r="U326" s="95">
        <f t="shared" si="261"/>
        <v>9619642.7133265045</v>
      </c>
      <c r="V326" s="95">
        <f>776262.50730424*7.15</f>
        <v>5550276.9272253159</v>
      </c>
      <c r="W326" s="40" t="s">
        <v>78</v>
      </c>
      <c r="X326" s="129" t="s">
        <v>87</v>
      </c>
      <c r="Y326" s="79">
        <v>0.5</v>
      </c>
      <c r="Z326" s="79"/>
      <c r="AA326" s="79"/>
      <c r="AB326" s="80"/>
      <c r="AC326" s="95">
        <f t="shared" si="268"/>
        <v>1491164.5448700001</v>
      </c>
      <c r="AD326" s="87"/>
      <c r="AE326" s="77">
        <f t="shared" si="269"/>
        <v>6281.7614999999996</v>
      </c>
      <c r="AF326" s="88"/>
    </row>
    <row r="327" spans="2:32" s="43" customFormat="1" hidden="1">
      <c r="B327" s="17" t="s">
        <v>6</v>
      </c>
      <c r="C327" s="40" t="s">
        <v>14</v>
      </c>
      <c r="D327" s="40" t="s">
        <v>115</v>
      </c>
      <c r="E327" s="91" t="s">
        <v>116</v>
      </c>
      <c r="F327" s="40" t="s">
        <v>114</v>
      </c>
      <c r="G327" s="40"/>
      <c r="H327" s="40" t="s">
        <v>52</v>
      </c>
      <c r="I327" s="57">
        <v>2023</v>
      </c>
      <c r="J327" s="57">
        <v>5</v>
      </c>
      <c r="K327" s="29">
        <v>45597</v>
      </c>
      <c r="L327" s="66"/>
      <c r="M327" s="94">
        <f t="shared" si="257"/>
        <v>7.9365000000000005E-2</v>
      </c>
      <c r="N327" s="94">
        <f t="shared" si="258"/>
        <v>0.11869</v>
      </c>
      <c r="O327" s="94">
        <f t="shared" si="259"/>
        <v>3.9324999999999999E-2</v>
      </c>
      <c r="P327" s="68"/>
      <c r="Q327" s="100">
        <v>1</v>
      </c>
      <c r="R327" s="104">
        <f t="shared" si="256"/>
        <v>7.9365000000000005E-2</v>
      </c>
      <c r="S327" s="73">
        <v>8747523</v>
      </c>
      <c r="T327" s="73">
        <f t="shared" si="267"/>
        <v>120793821</v>
      </c>
      <c r="U327" s="95">
        <f t="shared" si="261"/>
        <v>9619642.7133265045</v>
      </c>
      <c r="V327" s="95">
        <f>845042.090445308*7.15</f>
        <v>6042050.9466839526</v>
      </c>
      <c r="W327" s="40" t="s">
        <v>78</v>
      </c>
      <c r="X327" s="129" t="s">
        <v>87</v>
      </c>
      <c r="Y327" s="79">
        <v>0.5</v>
      </c>
      <c r="Z327" s="79"/>
      <c r="AA327" s="79"/>
      <c r="AB327" s="80"/>
      <c r="AC327" s="95">
        <f t="shared" si="268"/>
        <v>1038243.5048700001</v>
      </c>
      <c r="AD327" s="87"/>
      <c r="AE327" s="77">
        <f t="shared" si="269"/>
        <v>4373.7614999999996</v>
      </c>
      <c r="AF327" s="88"/>
    </row>
    <row r="328" spans="2:32" s="43" customFormat="1" hidden="1">
      <c r="B328" s="17" t="s">
        <v>6</v>
      </c>
      <c r="C328" s="40" t="s">
        <v>14</v>
      </c>
      <c r="D328" s="40" t="s">
        <v>115</v>
      </c>
      <c r="E328" s="91" t="s">
        <v>116</v>
      </c>
      <c r="F328" s="40" t="s">
        <v>114</v>
      </c>
      <c r="G328" s="40"/>
      <c r="H328" s="40" t="s">
        <v>52</v>
      </c>
      <c r="I328" s="57">
        <v>2023</v>
      </c>
      <c r="J328" s="57">
        <v>4</v>
      </c>
      <c r="K328" s="29">
        <v>45597</v>
      </c>
      <c r="L328" s="66"/>
      <c r="M328" s="94">
        <f t="shared" si="257"/>
        <v>7.9365000000000005E-2</v>
      </c>
      <c r="N328" s="94">
        <f t="shared" si="258"/>
        <v>0.11869</v>
      </c>
      <c r="O328" s="94">
        <f t="shared" si="259"/>
        <v>3.9324999999999999E-2</v>
      </c>
      <c r="P328" s="68"/>
      <c r="Q328" s="100">
        <v>1</v>
      </c>
      <c r="R328" s="104">
        <f t="shared" si="256"/>
        <v>7.9365000000000005E-2</v>
      </c>
      <c r="S328" s="73">
        <v>14445252</v>
      </c>
      <c r="T328" s="73">
        <f t="shared" si="267"/>
        <v>112046298</v>
      </c>
      <c r="U328" s="95">
        <f t="shared" si="261"/>
        <v>9619642.7133265045</v>
      </c>
      <c r="V328" s="95">
        <f>892930.80648912*7.15</f>
        <v>6384455.266397208</v>
      </c>
      <c r="W328" s="40" t="s">
        <v>78</v>
      </c>
      <c r="X328" s="129" t="s">
        <v>87</v>
      </c>
      <c r="Y328" s="79">
        <v>0.5</v>
      </c>
      <c r="Z328" s="79"/>
      <c r="AA328" s="79"/>
      <c r="AB328" s="80"/>
      <c r="AC328" s="95">
        <f t="shared" si="268"/>
        <v>1714506.95988</v>
      </c>
      <c r="AD328" s="87"/>
      <c r="AE328" s="77">
        <f t="shared" si="269"/>
        <v>7222.6260000000002</v>
      </c>
      <c r="AF328" s="88"/>
    </row>
    <row r="329" spans="2:32" s="43" customFormat="1" hidden="1">
      <c r="B329" s="17" t="s">
        <v>6</v>
      </c>
      <c r="C329" s="40" t="s">
        <v>14</v>
      </c>
      <c r="D329" s="40" t="s">
        <v>115</v>
      </c>
      <c r="E329" s="91" t="s">
        <v>116</v>
      </c>
      <c r="F329" s="40" t="s">
        <v>114</v>
      </c>
      <c r="G329" s="40"/>
      <c r="H329" s="40" t="s">
        <v>52</v>
      </c>
      <c r="I329" s="57">
        <v>2023</v>
      </c>
      <c r="J329" s="57">
        <v>3</v>
      </c>
      <c r="K329" s="29">
        <v>45597</v>
      </c>
      <c r="L329" s="66"/>
      <c r="M329" s="94">
        <f t="shared" si="257"/>
        <v>7.9365000000000005E-2</v>
      </c>
      <c r="N329" s="94">
        <f t="shared" si="258"/>
        <v>0.11869</v>
      </c>
      <c r="O329" s="94">
        <f t="shared" si="259"/>
        <v>3.9324999999999999E-2</v>
      </c>
      <c r="P329" s="68"/>
      <c r="Q329" s="100">
        <v>1</v>
      </c>
      <c r="R329" s="104">
        <f t="shared" si="256"/>
        <v>7.9365000000000005E-2</v>
      </c>
      <c r="S329" s="73">
        <v>13700000</v>
      </c>
      <c r="T329" s="73">
        <f t="shared" si="267"/>
        <v>97601046</v>
      </c>
      <c r="U329" s="95">
        <f t="shared" si="261"/>
        <v>9619642.7133265045</v>
      </c>
      <c r="V329" s="95">
        <f>972012.001383871*7.15</f>
        <v>6949885.8098946773</v>
      </c>
      <c r="W329" s="40" t="s">
        <v>78</v>
      </c>
      <c r="X329" s="129" t="s">
        <v>87</v>
      </c>
      <c r="Y329" s="79">
        <v>0.5</v>
      </c>
      <c r="Z329" s="79"/>
      <c r="AA329" s="79"/>
      <c r="AB329" s="80"/>
      <c r="AC329" s="95">
        <f t="shared" si="268"/>
        <v>1626053</v>
      </c>
      <c r="AD329" s="87"/>
      <c r="AE329" s="77">
        <f t="shared" si="269"/>
        <v>6850</v>
      </c>
      <c r="AF329" s="88"/>
    </row>
    <row r="330" spans="2:32" s="43" customFormat="1" hidden="1">
      <c r="B330" s="17" t="s">
        <v>6</v>
      </c>
      <c r="C330" s="40" t="s">
        <v>14</v>
      </c>
      <c r="D330" s="40" t="s">
        <v>115</v>
      </c>
      <c r="E330" s="91" t="s">
        <v>116</v>
      </c>
      <c r="F330" s="40" t="s">
        <v>114</v>
      </c>
      <c r="G330" s="40"/>
      <c r="H330" s="40" t="s">
        <v>52</v>
      </c>
      <c r="I330" s="57">
        <v>2023</v>
      </c>
      <c r="J330" s="57">
        <v>2</v>
      </c>
      <c r="K330" s="29">
        <v>45597</v>
      </c>
      <c r="L330" s="66"/>
      <c r="M330" s="94">
        <f t="shared" si="257"/>
        <v>7.9365000000000005E-2</v>
      </c>
      <c r="N330" s="94">
        <f t="shared" si="258"/>
        <v>0.11869</v>
      </c>
      <c r="O330" s="94">
        <f t="shared" si="259"/>
        <v>3.9324999999999999E-2</v>
      </c>
      <c r="P330" s="68"/>
      <c r="Q330" s="100">
        <v>1</v>
      </c>
      <c r="R330" s="104">
        <f t="shared" si="256"/>
        <v>7.9365000000000005E-2</v>
      </c>
      <c r="S330" s="73">
        <v>13373523</v>
      </c>
      <c r="T330" s="73">
        <f t="shared" si="267"/>
        <v>83901046</v>
      </c>
      <c r="U330" s="95">
        <f t="shared" si="261"/>
        <v>9619642.7133265045</v>
      </c>
      <c r="V330" s="95">
        <f>1047013.28000871*7.15</f>
        <v>7486144.9520622771</v>
      </c>
      <c r="W330" s="40" t="s">
        <v>78</v>
      </c>
      <c r="X330" s="129" t="s">
        <v>87</v>
      </c>
      <c r="Y330" s="79">
        <v>0.5</v>
      </c>
      <c r="Z330" s="79"/>
      <c r="AA330" s="79"/>
      <c r="AB330" s="80"/>
      <c r="AC330" s="95">
        <f t="shared" si="268"/>
        <v>1587303.44487</v>
      </c>
      <c r="AD330" s="87"/>
      <c r="AE330" s="77">
        <f t="shared" si="269"/>
        <v>6686.7614999999996</v>
      </c>
      <c r="AF330" s="88"/>
    </row>
    <row r="331" spans="2:32" s="43" customFormat="1" hidden="1">
      <c r="B331" s="17" t="s">
        <v>6</v>
      </c>
      <c r="C331" s="40" t="s">
        <v>14</v>
      </c>
      <c r="D331" s="40" t="s">
        <v>115</v>
      </c>
      <c r="E331" s="91" t="s">
        <v>116</v>
      </c>
      <c r="F331" s="40" t="s">
        <v>114</v>
      </c>
      <c r="G331" s="40"/>
      <c r="H331" s="40" t="s">
        <v>52</v>
      </c>
      <c r="I331" s="57">
        <v>2023</v>
      </c>
      <c r="J331" s="57">
        <v>1</v>
      </c>
      <c r="K331" s="29">
        <v>45597</v>
      </c>
      <c r="L331" s="66"/>
      <c r="M331" s="94">
        <f t="shared" si="257"/>
        <v>7.9365000000000005E-2</v>
      </c>
      <c r="N331" s="94">
        <f t="shared" si="258"/>
        <v>0.11869</v>
      </c>
      <c r="O331" s="94">
        <f t="shared" si="259"/>
        <v>3.9324999999999999E-2</v>
      </c>
      <c r="P331" s="68"/>
      <c r="Q331" s="100">
        <v>1</v>
      </c>
      <c r="R331" s="104">
        <f t="shared" si="256"/>
        <v>7.9365000000000005E-2</v>
      </c>
      <c r="S331" s="73">
        <v>14543523</v>
      </c>
      <c r="T331" s="73">
        <v>70527523</v>
      </c>
      <c r="U331" s="95">
        <f t="shared" si="261"/>
        <v>9619642.7133265045</v>
      </c>
      <c r="V331" s="95">
        <f>1120227.24531665*7.15</f>
        <v>8009624.8040140476</v>
      </c>
      <c r="W331" s="40" t="s">
        <v>78</v>
      </c>
      <c r="X331" s="129" t="s">
        <v>87</v>
      </c>
      <c r="Y331" s="79">
        <v>0.5</v>
      </c>
      <c r="Z331" s="79"/>
      <c r="AA331" s="79"/>
      <c r="AB331" s="80"/>
      <c r="AC331" s="95">
        <f t="shared" si="268"/>
        <v>1726170.7448700001</v>
      </c>
      <c r="AD331" s="87"/>
      <c r="AE331" s="77">
        <f t="shared" si="269"/>
        <v>7271.7614999999996</v>
      </c>
      <c r="AF331" s="88"/>
    </row>
    <row r="332" spans="2:32" s="43" customFormat="1">
      <c r="B332" s="17" t="s">
        <v>6</v>
      </c>
      <c r="C332" s="40" t="s">
        <v>14</v>
      </c>
      <c r="D332" s="40" t="s">
        <v>117</v>
      </c>
      <c r="E332" s="91" t="s">
        <v>118</v>
      </c>
      <c r="F332" s="40" t="s">
        <v>114</v>
      </c>
      <c r="G332" s="40"/>
      <c r="H332" s="40" t="s">
        <v>52</v>
      </c>
      <c r="I332" s="57">
        <v>2025</v>
      </c>
      <c r="J332" s="57">
        <v>2</v>
      </c>
      <c r="K332" s="29">
        <v>45722</v>
      </c>
      <c r="L332" s="66"/>
      <c r="M332" s="94">
        <f t="shared" ref="M332:M357" si="270">0.0141*7.15</f>
        <v>0.100815</v>
      </c>
      <c r="N332" s="94">
        <f t="shared" ref="N332:N357" si="271">0.0168*7.15</f>
        <v>0.12012</v>
      </c>
      <c r="O332" s="94">
        <f t="shared" ref="O332:O357" si="272">0.0027*7.15</f>
        <v>1.9305000000000003E-2</v>
      </c>
      <c r="P332" s="68"/>
      <c r="Q332" s="100">
        <v>1</v>
      </c>
      <c r="R332" s="104">
        <f t="shared" ref="R332" si="273">Q332*M332</f>
        <v>0.100815</v>
      </c>
      <c r="S332" s="73">
        <v>16740000</v>
      </c>
      <c r="T332" s="143">
        <f>S332+T333</f>
        <v>346829142</v>
      </c>
      <c r="U332" s="137">
        <f t="shared" ref="U332:U357" si="274">733099.408284024*7.15</f>
        <v>5241660.7692307718</v>
      </c>
      <c r="V332" s="137">
        <f>-215487*7.15</f>
        <v>-1540732.05</v>
      </c>
      <c r="W332" s="40" t="s">
        <v>70</v>
      </c>
      <c r="X332" s="129" t="s">
        <v>71</v>
      </c>
      <c r="Y332" s="79">
        <v>0.85</v>
      </c>
      <c r="Z332" s="79"/>
      <c r="AA332" s="79"/>
      <c r="AB332" s="80"/>
      <c r="AC332" s="95">
        <f t="shared" si="268"/>
        <v>2010808.8</v>
      </c>
      <c r="AD332" s="87"/>
      <c r="AE332" s="77">
        <f t="shared" si="269"/>
        <v>14229</v>
      </c>
      <c r="AF332" s="88"/>
    </row>
    <row r="333" spans="2:32" s="43" customFormat="1" hidden="1">
      <c r="B333" s="17" t="s">
        <v>6</v>
      </c>
      <c r="C333" s="40" t="s">
        <v>14</v>
      </c>
      <c r="D333" s="40" t="s">
        <v>117</v>
      </c>
      <c r="E333" s="91" t="s">
        <v>118</v>
      </c>
      <c r="F333" s="40" t="s">
        <v>114</v>
      </c>
      <c r="G333" s="40"/>
      <c r="H333" s="40" t="s">
        <v>52</v>
      </c>
      <c r="I333" s="57">
        <v>2025</v>
      </c>
      <c r="J333" s="57">
        <v>1</v>
      </c>
      <c r="K333" s="29">
        <v>45705</v>
      </c>
      <c r="L333" s="66"/>
      <c r="M333" s="94">
        <f t="shared" si="270"/>
        <v>0.100815</v>
      </c>
      <c r="N333" s="94">
        <f t="shared" si="271"/>
        <v>0.12012</v>
      </c>
      <c r="O333" s="94">
        <f t="shared" si="272"/>
        <v>1.9305000000000003E-2</v>
      </c>
      <c r="P333" s="68"/>
      <c r="Q333" s="100">
        <v>1</v>
      </c>
      <c r="R333" s="104">
        <f t="shared" si="256"/>
        <v>0.100815</v>
      </c>
      <c r="S333" s="73">
        <v>10848000</v>
      </c>
      <c r="T333" s="73">
        <f>S333+T334</f>
        <v>330089142</v>
      </c>
      <c r="U333" s="95">
        <f t="shared" si="274"/>
        <v>5241660.7692307718</v>
      </c>
      <c r="V333" s="95">
        <f>-169702.5538
*7.15</f>
        <v>-1213373.2596700001</v>
      </c>
      <c r="W333" s="40" t="s">
        <v>70</v>
      </c>
      <c r="X333" s="129" t="s">
        <v>71</v>
      </c>
      <c r="Y333" s="79">
        <v>0.85</v>
      </c>
      <c r="Z333" s="79"/>
      <c r="AA333" s="79"/>
      <c r="AB333" s="80"/>
      <c r="AC333" s="95">
        <f t="shared" ref="AC333" si="275">N333*S333</f>
        <v>1303061.76</v>
      </c>
      <c r="AD333" s="87"/>
      <c r="AE333" s="77">
        <f t="shared" ref="AE333" si="276">S333*Y333/1000</f>
        <v>9220.7999999999993</v>
      </c>
      <c r="AF333" s="88"/>
    </row>
    <row r="334" spans="2:32" s="43" customFormat="1" hidden="1">
      <c r="B334" s="17" t="s">
        <v>6</v>
      </c>
      <c r="C334" s="40" t="s">
        <v>14</v>
      </c>
      <c r="D334" s="40" t="s">
        <v>117</v>
      </c>
      <c r="E334" s="91" t="s">
        <v>118</v>
      </c>
      <c r="F334" s="40" t="s">
        <v>114</v>
      </c>
      <c r="G334" s="40"/>
      <c r="H334" s="40" t="s">
        <v>52</v>
      </c>
      <c r="I334" s="57">
        <v>2024</v>
      </c>
      <c r="J334" s="57">
        <v>12</v>
      </c>
      <c r="K334" s="29">
        <v>45666</v>
      </c>
      <c r="L334" s="66"/>
      <c r="M334" s="94">
        <f t="shared" si="270"/>
        <v>0.100815</v>
      </c>
      <c r="N334" s="94">
        <f t="shared" si="271"/>
        <v>0.12012</v>
      </c>
      <c r="O334" s="94">
        <f t="shared" si="272"/>
        <v>1.9305000000000003E-2</v>
      </c>
      <c r="P334" s="68"/>
      <c r="Q334" s="100">
        <v>1</v>
      </c>
      <c r="R334" s="104">
        <f t="shared" ref="R334" si="277">Q334*M334</f>
        <v>0.100815</v>
      </c>
      <c r="S334" s="73">
        <v>14856000</v>
      </c>
      <c r="T334" s="73">
        <f>S334+T335</f>
        <v>319241142</v>
      </c>
      <c r="U334" s="95">
        <f t="shared" si="274"/>
        <v>5241660.7692307718</v>
      </c>
      <c r="V334" s="95">
        <f>-140033*7.15</f>
        <v>-1001235.9500000001</v>
      </c>
      <c r="W334" s="40" t="s">
        <v>70</v>
      </c>
      <c r="X334" s="129" t="s">
        <v>71</v>
      </c>
      <c r="Y334" s="79">
        <v>0.85</v>
      </c>
      <c r="Z334" s="79"/>
      <c r="AA334" s="79"/>
      <c r="AB334" s="80"/>
      <c r="AC334" s="95">
        <f t="shared" si="268"/>
        <v>1784502.72</v>
      </c>
      <c r="AD334" s="87"/>
      <c r="AE334" s="77">
        <f t="shared" si="269"/>
        <v>12627.6</v>
      </c>
      <c r="AF334" s="88"/>
    </row>
    <row r="335" spans="2:32" s="43" customFormat="1" hidden="1">
      <c r="B335" s="17" t="s">
        <v>6</v>
      </c>
      <c r="C335" s="40" t="s">
        <v>14</v>
      </c>
      <c r="D335" s="40" t="s">
        <v>117</v>
      </c>
      <c r="E335" s="91" t="s">
        <v>118</v>
      </c>
      <c r="F335" s="40" t="s">
        <v>114</v>
      </c>
      <c r="G335" s="40"/>
      <c r="H335" s="40" t="s">
        <v>52</v>
      </c>
      <c r="I335" s="57">
        <v>2024</v>
      </c>
      <c r="J335" s="57">
        <v>11</v>
      </c>
      <c r="K335" s="29">
        <v>45629</v>
      </c>
      <c r="L335" s="66"/>
      <c r="M335" s="94">
        <f t="shared" si="270"/>
        <v>0.100815</v>
      </c>
      <c r="N335" s="94">
        <f t="shared" si="271"/>
        <v>0.12012</v>
      </c>
      <c r="O335" s="94">
        <f t="shared" si="272"/>
        <v>1.9305000000000003E-2</v>
      </c>
      <c r="P335" s="68"/>
      <c r="Q335" s="100">
        <v>1</v>
      </c>
      <c r="R335" s="104">
        <f t="shared" si="256"/>
        <v>0.100815</v>
      </c>
      <c r="S335" s="73">
        <v>10640600</v>
      </c>
      <c r="T335" s="73">
        <f>S335+T336</f>
        <v>304385142</v>
      </c>
      <c r="U335" s="95">
        <f t="shared" si="274"/>
        <v>5241660.7692307718</v>
      </c>
      <c r="V335" s="95">
        <f>-99401.47848*7.15</f>
        <v>-710720.57113200007</v>
      </c>
      <c r="W335" s="40" t="s">
        <v>70</v>
      </c>
      <c r="X335" s="129" t="s">
        <v>71</v>
      </c>
      <c r="Y335" s="79">
        <v>0.85</v>
      </c>
      <c r="Z335" s="79"/>
      <c r="AA335" s="79"/>
      <c r="AB335" s="80"/>
      <c r="AC335" s="95">
        <f t="shared" ref="AC335" si="278">N335*S335</f>
        <v>1278148.872</v>
      </c>
      <c r="AD335" s="87"/>
      <c r="AE335" s="77">
        <f t="shared" ref="AE335" si="279">S335*Y335/1000</f>
        <v>9044.51</v>
      </c>
      <c r="AF335" s="88"/>
    </row>
    <row r="336" spans="2:32" s="43" customFormat="1" hidden="1">
      <c r="B336" s="17" t="s">
        <v>6</v>
      </c>
      <c r="C336" s="40" t="s">
        <v>14</v>
      </c>
      <c r="D336" s="40" t="s">
        <v>117</v>
      </c>
      <c r="E336" s="91" t="s">
        <v>118</v>
      </c>
      <c r="F336" s="40" t="s">
        <v>114</v>
      </c>
      <c r="G336" s="40"/>
      <c r="H336" s="40" t="s">
        <v>52</v>
      </c>
      <c r="I336" s="57">
        <v>2024</v>
      </c>
      <c r="J336" s="57">
        <v>10</v>
      </c>
      <c r="K336" s="29">
        <v>45601</v>
      </c>
      <c r="L336" s="66"/>
      <c r="M336" s="94">
        <f t="shared" si="270"/>
        <v>0.100815</v>
      </c>
      <c r="N336" s="94">
        <f t="shared" si="271"/>
        <v>0.12012</v>
      </c>
      <c r="O336" s="94">
        <f t="shared" si="272"/>
        <v>1.9305000000000003E-2</v>
      </c>
      <c r="P336" s="68"/>
      <c r="Q336" s="100">
        <v>1</v>
      </c>
      <c r="R336" s="104">
        <f t="shared" si="256"/>
        <v>0.100815</v>
      </c>
      <c r="S336" s="73">
        <v>11304000</v>
      </c>
      <c r="T336" s="73">
        <f>S336+T337</f>
        <v>293744542</v>
      </c>
      <c r="U336" s="95">
        <f t="shared" si="274"/>
        <v>5241660.7692307718</v>
      </c>
      <c r="V336" s="95">
        <f>-70299.1744753207*7.15</f>
        <v>-502639.09749854304</v>
      </c>
      <c r="W336" s="40" t="s">
        <v>70</v>
      </c>
      <c r="X336" s="129" t="s">
        <v>71</v>
      </c>
      <c r="Y336" s="79">
        <v>0.85</v>
      </c>
      <c r="Z336" s="79"/>
      <c r="AA336" s="79"/>
      <c r="AB336" s="80"/>
      <c r="AC336" s="95">
        <f t="shared" si="268"/>
        <v>1357836.48</v>
      </c>
      <c r="AD336" s="87"/>
      <c r="AE336" s="77">
        <f t="shared" si="269"/>
        <v>9608.4</v>
      </c>
      <c r="AF336" s="88"/>
    </row>
    <row r="337" spans="2:32" s="43" customFormat="1" hidden="1">
      <c r="B337" s="17" t="s">
        <v>6</v>
      </c>
      <c r="C337" s="40" t="s">
        <v>14</v>
      </c>
      <c r="D337" s="40" t="s">
        <v>117</v>
      </c>
      <c r="E337" s="91" t="s">
        <v>118</v>
      </c>
      <c r="F337" s="40" t="s">
        <v>114</v>
      </c>
      <c r="G337" s="40"/>
      <c r="H337" s="40" t="s">
        <v>52</v>
      </c>
      <c r="I337" s="57">
        <v>2024</v>
      </c>
      <c r="J337" s="57">
        <v>9</v>
      </c>
      <c r="K337" s="29">
        <v>45597</v>
      </c>
      <c r="L337" s="66"/>
      <c r="M337" s="94">
        <f t="shared" si="270"/>
        <v>0.100815</v>
      </c>
      <c r="N337" s="94">
        <f t="shared" si="271"/>
        <v>0.12012</v>
      </c>
      <c r="O337" s="94">
        <f t="shared" si="272"/>
        <v>1.9305000000000003E-2</v>
      </c>
      <c r="P337" s="68">
        <f>L337*O337</f>
        <v>0</v>
      </c>
      <c r="Q337" s="100">
        <v>1</v>
      </c>
      <c r="R337" s="104">
        <f t="shared" si="256"/>
        <v>0.100815</v>
      </c>
      <c r="S337" s="73">
        <v>8880000</v>
      </c>
      <c r="T337" s="73">
        <v>282440542</v>
      </c>
      <c r="U337" s="95">
        <f t="shared" si="274"/>
        <v>5241660.7692307718</v>
      </c>
      <c r="V337" s="95">
        <f>-39382.4550779893*7.15</f>
        <v>-281584.55380762351</v>
      </c>
      <c r="W337" s="40" t="s">
        <v>70</v>
      </c>
      <c r="X337" s="129" t="s">
        <v>71</v>
      </c>
      <c r="Y337" s="79">
        <v>0.85</v>
      </c>
      <c r="Z337" s="79"/>
      <c r="AA337" s="79"/>
      <c r="AB337" s="80"/>
      <c r="AC337" s="95">
        <f>N337*S337</f>
        <v>1066665.6000000001</v>
      </c>
      <c r="AD337" s="87"/>
      <c r="AE337" s="77">
        <f>S337*Y337/1000</f>
        <v>7548</v>
      </c>
      <c r="AF337" s="88"/>
    </row>
    <row r="338" spans="2:32" s="43" customFormat="1" hidden="1">
      <c r="B338" s="17" t="s">
        <v>6</v>
      </c>
      <c r="C338" s="40" t="s">
        <v>14</v>
      </c>
      <c r="D338" s="40" t="s">
        <v>117</v>
      </c>
      <c r="E338" s="91" t="s">
        <v>118</v>
      </c>
      <c r="F338" s="40" t="s">
        <v>114</v>
      </c>
      <c r="G338" s="40"/>
      <c r="H338" s="40" t="s">
        <v>52</v>
      </c>
      <c r="I338" s="57">
        <v>2024</v>
      </c>
      <c r="J338" s="57">
        <v>8</v>
      </c>
      <c r="K338" s="29">
        <v>45597</v>
      </c>
      <c r="L338" s="66"/>
      <c r="M338" s="94">
        <f t="shared" si="270"/>
        <v>0.100815</v>
      </c>
      <c r="N338" s="94">
        <f t="shared" si="271"/>
        <v>0.12012</v>
      </c>
      <c r="O338" s="94">
        <f t="shared" si="272"/>
        <v>1.9305000000000003E-2</v>
      </c>
      <c r="P338" s="68"/>
      <c r="Q338" s="100">
        <v>1</v>
      </c>
      <c r="R338" s="104">
        <f t="shared" si="256"/>
        <v>0.100815</v>
      </c>
      <c r="S338" s="73">
        <v>10260000</v>
      </c>
      <c r="T338" s="73">
        <f t="shared" ref="T338:T356" si="280">S338+T339</f>
        <v>273560542</v>
      </c>
      <c r="U338" s="95">
        <f t="shared" si="274"/>
        <v>5241660.7692307718</v>
      </c>
      <c r="V338" s="95">
        <f>-15095.4355938861*7.15</f>
        <v>-107932.36449628562</v>
      </c>
      <c r="W338" s="40" t="s">
        <v>70</v>
      </c>
      <c r="X338" s="129" t="s">
        <v>71</v>
      </c>
      <c r="Y338" s="79">
        <v>0.85</v>
      </c>
      <c r="Z338" s="79"/>
      <c r="AA338" s="79"/>
      <c r="AB338" s="80"/>
      <c r="AC338" s="95">
        <f t="shared" ref="AC338:AC362" si="281">N338*S338</f>
        <v>1232431.2</v>
      </c>
      <c r="AD338" s="87"/>
      <c r="AE338" s="77">
        <f t="shared" ref="AE338:AE362" si="282">S338*Y338/1000</f>
        <v>8721</v>
      </c>
      <c r="AF338" s="88"/>
    </row>
    <row r="339" spans="2:32" s="43" customFormat="1" hidden="1">
      <c r="B339" s="17" t="s">
        <v>6</v>
      </c>
      <c r="C339" s="40" t="s">
        <v>14</v>
      </c>
      <c r="D339" s="40" t="s">
        <v>117</v>
      </c>
      <c r="E339" s="91" t="s">
        <v>118</v>
      </c>
      <c r="F339" s="40" t="s">
        <v>114</v>
      </c>
      <c r="G339" s="40"/>
      <c r="H339" s="40" t="s">
        <v>52</v>
      </c>
      <c r="I339" s="57">
        <v>2024</v>
      </c>
      <c r="J339" s="57">
        <v>7</v>
      </c>
      <c r="K339" s="29">
        <v>45597</v>
      </c>
      <c r="L339" s="66"/>
      <c r="M339" s="94">
        <f t="shared" si="270"/>
        <v>0.100815</v>
      </c>
      <c r="N339" s="94">
        <f t="shared" si="271"/>
        <v>0.12012</v>
      </c>
      <c r="O339" s="94">
        <f t="shared" si="272"/>
        <v>1.9305000000000003E-2</v>
      </c>
      <c r="P339" s="68"/>
      <c r="Q339" s="100">
        <v>1</v>
      </c>
      <c r="R339" s="104">
        <f t="shared" si="256"/>
        <v>0.100815</v>
      </c>
      <c r="S339" s="73">
        <v>14100000</v>
      </c>
      <c r="T339" s="73">
        <f t="shared" si="280"/>
        <v>263300542</v>
      </c>
      <c r="U339" s="95">
        <f t="shared" si="274"/>
        <v>5241660.7692307718</v>
      </c>
      <c r="V339" s="95">
        <f>12965.9179992332*7.15</f>
        <v>92706.313694517376</v>
      </c>
      <c r="W339" s="40" t="s">
        <v>70</v>
      </c>
      <c r="X339" s="129" t="s">
        <v>71</v>
      </c>
      <c r="Y339" s="79">
        <v>0.85</v>
      </c>
      <c r="Z339" s="79"/>
      <c r="AA339" s="79"/>
      <c r="AB339" s="80"/>
      <c r="AC339" s="95">
        <f t="shared" si="281"/>
        <v>1693692</v>
      </c>
      <c r="AD339" s="87"/>
      <c r="AE339" s="77">
        <f t="shared" si="282"/>
        <v>11985</v>
      </c>
      <c r="AF339" s="88"/>
    </row>
    <row r="340" spans="2:32" s="43" customFormat="1" hidden="1">
      <c r="B340" s="17" t="s">
        <v>6</v>
      </c>
      <c r="C340" s="40" t="s">
        <v>14</v>
      </c>
      <c r="D340" s="40" t="s">
        <v>117</v>
      </c>
      <c r="E340" s="91" t="s">
        <v>118</v>
      </c>
      <c r="F340" s="40" t="s">
        <v>114</v>
      </c>
      <c r="G340" s="40"/>
      <c r="H340" s="40" t="s">
        <v>52</v>
      </c>
      <c r="I340" s="57">
        <v>2024</v>
      </c>
      <c r="J340" s="57">
        <v>6</v>
      </c>
      <c r="K340" s="29">
        <v>45597</v>
      </c>
      <c r="L340" s="66"/>
      <c r="M340" s="94">
        <f t="shared" si="270"/>
        <v>0.100815</v>
      </c>
      <c r="N340" s="94">
        <f t="shared" si="271"/>
        <v>0.12012</v>
      </c>
      <c r="O340" s="94">
        <f t="shared" si="272"/>
        <v>1.9305000000000003E-2</v>
      </c>
      <c r="P340" s="68"/>
      <c r="Q340" s="100">
        <v>1</v>
      </c>
      <c r="R340" s="104">
        <f t="shared" si="256"/>
        <v>0.100815</v>
      </c>
      <c r="S340" s="73">
        <v>7980000</v>
      </c>
      <c r="T340" s="73">
        <f t="shared" si="280"/>
        <v>249200542</v>
      </c>
      <c r="U340" s="95">
        <f t="shared" si="274"/>
        <v>5241660.7692307718</v>
      </c>
      <c r="V340" s="95">
        <f>51529.7665043971*7.15</f>
        <v>368437.83050643926</v>
      </c>
      <c r="W340" s="40" t="s">
        <v>70</v>
      </c>
      <c r="X340" s="129" t="s">
        <v>71</v>
      </c>
      <c r="Y340" s="79">
        <v>0.85</v>
      </c>
      <c r="Z340" s="79"/>
      <c r="AA340" s="79"/>
      <c r="AB340" s="80"/>
      <c r="AC340" s="95">
        <f t="shared" si="281"/>
        <v>958557.60000000009</v>
      </c>
      <c r="AD340" s="87"/>
      <c r="AE340" s="77">
        <f t="shared" si="282"/>
        <v>6783</v>
      </c>
      <c r="AF340" s="88"/>
    </row>
    <row r="341" spans="2:32" s="43" customFormat="1" hidden="1">
      <c r="B341" s="17" t="s">
        <v>6</v>
      </c>
      <c r="C341" s="40" t="s">
        <v>14</v>
      </c>
      <c r="D341" s="40" t="s">
        <v>117</v>
      </c>
      <c r="E341" s="91" t="s">
        <v>118</v>
      </c>
      <c r="F341" s="40" t="s">
        <v>114</v>
      </c>
      <c r="G341" s="40"/>
      <c r="H341" s="40" t="s">
        <v>52</v>
      </c>
      <c r="I341" s="57">
        <v>2024</v>
      </c>
      <c r="J341" s="57">
        <v>5</v>
      </c>
      <c r="K341" s="29">
        <v>45597</v>
      </c>
      <c r="L341" s="66"/>
      <c r="M341" s="94">
        <f t="shared" si="270"/>
        <v>0.100815</v>
      </c>
      <c r="N341" s="94">
        <f t="shared" si="271"/>
        <v>0.12012</v>
      </c>
      <c r="O341" s="94">
        <f t="shared" si="272"/>
        <v>1.9305000000000003E-2</v>
      </c>
      <c r="P341" s="68"/>
      <c r="Q341" s="100">
        <v>1</v>
      </c>
      <c r="R341" s="104">
        <f t="shared" si="256"/>
        <v>0.100815</v>
      </c>
      <c r="S341" s="73">
        <v>19500000</v>
      </c>
      <c r="T341" s="73">
        <f t="shared" si="280"/>
        <v>241220542</v>
      </c>
      <c r="U341" s="95">
        <f t="shared" si="274"/>
        <v>5241660.7692307718</v>
      </c>
      <c r="V341" s="95">
        <f>73355.2637434898*7.15</f>
        <v>524490.13576595217</v>
      </c>
      <c r="W341" s="40" t="s">
        <v>70</v>
      </c>
      <c r="X341" s="129" t="s">
        <v>71</v>
      </c>
      <c r="Y341" s="79">
        <v>0.85</v>
      </c>
      <c r="Z341" s="79"/>
      <c r="AA341" s="79"/>
      <c r="AB341" s="80"/>
      <c r="AC341" s="95">
        <f t="shared" si="281"/>
        <v>2342340</v>
      </c>
      <c r="AD341" s="87"/>
      <c r="AE341" s="77">
        <f t="shared" si="282"/>
        <v>16575</v>
      </c>
      <c r="AF341" s="88"/>
    </row>
    <row r="342" spans="2:32" s="43" customFormat="1" hidden="1">
      <c r="B342" s="17" t="s">
        <v>6</v>
      </c>
      <c r="C342" s="40" t="s">
        <v>14</v>
      </c>
      <c r="D342" s="40" t="s">
        <v>117</v>
      </c>
      <c r="E342" s="91" t="s">
        <v>118</v>
      </c>
      <c r="F342" s="40" t="s">
        <v>114</v>
      </c>
      <c r="G342" s="40"/>
      <c r="H342" s="40" t="s">
        <v>52</v>
      </c>
      <c r="I342" s="57">
        <v>2024</v>
      </c>
      <c r="J342" s="57">
        <v>4</v>
      </c>
      <c r="K342" s="29">
        <v>45597</v>
      </c>
      <c r="L342" s="66"/>
      <c r="M342" s="94">
        <f t="shared" si="270"/>
        <v>0.100815</v>
      </c>
      <c r="N342" s="94">
        <f t="shared" si="271"/>
        <v>0.12012</v>
      </c>
      <c r="O342" s="94">
        <f t="shared" si="272"/>
        <v>1.9305000000000003E-2</v>
      </c>
      <c r="P342" s="68"/>
      <c r="Q342" s="100">
        <v>1</v>
      </c>
      <c r="R342" s="104">
        <f t="shared" si="256"/>
        <v>0.100815</v>
      </c>
      <c r="S342" s="73">
        <v>7560000</v>
      </c>
      <c r="T342" s="73">
        <f t="shared" si="280"/>
        <v>221720542</v>
      </c>
      <c r="U342" s="95">
        <f t="shared" si="274"/>
        <v>5241660.7692307718</v>
      </c>
      <c r="V342" s="95">
        <f>126688.245718716*7.15</f>
        <v>905820.95688881946</v>
      </c>
      <c r="W342" s="40" t="s">
        <v>70</v>
      </c>
      <c r="X342" s="129" t="s">
        <v>71</v>
      </c>
      <c r="Y342" s="79">
        <v>0.85</v>
      </c>
      <c r="Z342" s="79"/>
      <c r="AA342" s="79"/>
      <c r="AB342" s="80"/>
      <c r="AC342" s="95">
        <f t="shared" si="281"/>
        <v>908107.20000000007</v>
      </c>
      <c r="AD342" s="87"/>
      <c r="AE342" s="77">
        <f t="shared" si="282"/>
        <v>6426</v>
      </c>
      <c r="AF342" s="88"/>
    </row>
    <row r="343" spans="2:32" s="43" customFormat="1" hidden="1">
      <c r="B343" s="17" t="s">
        <v>6</v>
      </c>
      <c r="C343" s="40" t="s">
        <v>14</v>
      </c>
      <c r="D343" s="40" t="s">
        <v>117</v>
      </c>
      <c r="E343" s="91" t="s">
        <v>118</v>
      </c>
      <c r="F343" s="40" t="s">
        <v>114</v>
      </c>
      <c r="G343" s="40"/>
      <c r="H343" s="40" t="s">
        <v>52</v>
      </c>
      <c r="I343" s="57">
        <v>2024</v>
      </c>
      <c r="J343" s="57">
        <v>3</v>
      </c>
      <c r="K343" s="29">
        <v>45597</v>
      </c>
      <c r="L343" s="66"/>
      <c r="M343" s="94">
        <f t="shared" si="270"/>
        <v>0.100815</v>
      </c>
      <c r="N343" s="94">
        <f t="shared" si="271"/>
        <v>0.12012</v>
      </c>
      <c r="O343" s="94">
        <f t="shared" si="272"/>
        <v>1.9305000000000003E-2</v>
      </c>
      <c r="P343" s="68"/>
      <c r="Q343" s="100">
        <v>1</v>
      </c>
      <c r="R343" s="104">
        <f t="shared" si="256"/>
        <v>0.100815</v>
      </c>
      <c r="S343" s="73">
        <v>11160000</v>
      </c>
      <c r="T343" s="73">
        <f t="shared" si="280"/>
        <v>214160542</v>
      </c>
      <c r="U343" s="95">
        <f t="shared" si="274"/>
        <v>5241660.7692307718</v>
      </c>
      <c r="V343" s="95">
        <f>147365.032576804*7.15</f>
        <v>1053659.9829241487</v>
      </c>
      <c r="W343" s="40" t="s">
        <v>70</v>
      </c>
      <c r="X343" s="129" t="s">
        <v>71</v>
      </c>
      <c r="Y343" s="79">
        <v>0.85</v>
      </c>
      <c r="Z343" s="79"/>
      <c r="AA343" s="79"/>
      <c r="AB343" s="80"/>
      <c r="AC343" s="95">
        <f t="shared" si="281"/>
        <v>1340539.2</v>
      </c>
      <c r="AD343" s="87"/>
      <c r="AE343" s="77">
        <f t="shared" si="282"/>
        <v>9486</v>
      </c>
      <c r="AF343" s="88"/>
    </row>
    <row r="344" spans="2:32" s="43" customFormat="1" hidden="1">
      <c r="B344" s="17" t="s">
        <v>6</v>
      </c>
      <c r="C344" s="40" t="s">
        <v>14</v>
      </c>
      <c r="D344" s="40" t="s">
        <v>117</v>
      </c>
      <c r="E344" s="91" t="s">
        <v>118</v>
      </c>
      <c r="F344" s="40" t="s">
        <v>114</v>
      </c>
      <c r="G344" s="40"/>
      <c r="H344" s="40" t="s">
        <v>52</v>
      </c>
      <c r="I344" s="57">
        <v>2024</v>
      </c>
      <c r="J344" s="57">
        <v>2</v>
      </c>
      <c r="K344" s="29">
        <v>45597</v>
      </c>
      <c r="L344" s="66"/>
      <c r="M344" s="94">
        <f t="shared" si="270"/>
        <v>0.100815</v>
      </c>
      <c r="N344" s="94">
        <f t="shared" si="271"/>
        <v>0.12012</v>
      </c>
      <c r="O344" s="94">
        <f t="shared" si="272"/>
        <v>1.9305000000000003E-2</v>
      </c>
      <c r="P344" s="68"/>
      <c r="Q344" s="100">
        <v>1</v>
      </c>
      <c r="R344" s="104">
        <f t="shared" si="256"/>
        <v>0.100815</v>
      </c>
      <c r="S344" s="73">
        <v>11820000</v>
      </c>
      <c r="T344" s="73">
        <f t="shared" si="280"/>
        <v>203000542</v>
      </c>
      <c r="U344" s="95">
        <f t="shared" si="274"/>
        <v>5241660.7692307718</v>
      </c>
      <c r="V344" s="95">
        <f>177887.908414934*7.15</f>
        <v>1271898.5451667781</v>
      </c>
      <c r="W344" s="40" t="s">
        <v>70</v>
      </c>
      <c r="X344" s="129" t="s">
        <v>71</v>
      </c>
      <c r="Y344" s="79">
        <v>0.85</v>
      </c>
      <c r="Z344" s="79"/>
      <c r="AA344" s="79"/>
      <c r="AB344" s="80"/>
      <c r="AC344" s="95">
        <f t="shared" si="281"/>
        <v>1419818.4000000001</v>
      </c>
      <c r="AD344" s="87"/>
      <c r="AE344" s="77">
        <f t="shared" si="282"/>
        <v>10047</v>
      </c>
      <c r="AF344" s="88"/>
    </row>
    <row r="345" spans="2:32" s="43" customFormat="1" hidden="1">
      <c r="B345" s="17" t="s">
        <v>6</v>
      </c>
      <c r="C345" s="40" t="s">
        <v>14</v>
      </c>
      <c r="D345" s="40" t="s">
        <v>117</v>
      </c>
      <c r="E345" s="91" t="s">
        <v>118</v>
      </c>
      <c r="F345" s="40" t="s">
        <v>114</v>
      </c>
      <c r="G345" s="40"/>
      <c r="H345" s="40" t="s">
        <v>52</v>
      </c>
      <c r="I345" s="57">
        <v>2024</v>
      </c>
      <c r="J345" s="57">
        <v>1</v>
      </c>
      <c r="K345" s="29">
        <v>45597</v>
      </c>
      <c r="L345" s="66"/>
      <c r="M345" s="94">
        <f t="shared" si="270"/>
        <v>0.100815</v>
      </c>
      <c r="N345" s="94">
        <f t="shared" si="271"/>
        <v>0.12012</v>
      </c>
      <c r="O345" s="94">
        <f t="shared" si="272"/>
        <v>1.9305000000000003E-2</v>
      </c>
      <c r="P345" s="68"/>
      <c r="Q345" s="100">
        <v>1</v>
      </c>
      <c r="R345" s="104">
        <f t="shared" si="256"/>
        <v>0.100815</v>
      </c>
      <c r="S345" s="73">
        <v>12240000</v>
      </c>
      <c r="T345" s="73">
        <f t="shared" si="280"/>
        <v>191180542</v>
      </c>
      <c r="U345" s="95">
        <f t="shared" si="274"/>
        <v>5241660.7692307718</v>
      </c>
      <c r="V345" s="95">
        <f>210215.900566071*7.15</f>
        <v>1503043.6890474078</v>
      </c>
      <c r="W345" s="40" t="s">
        <v>70</v>
      </c>
      <c r="X345" s="129" t="s">
        <v>71</v>
      </c>
      <c r="Y345" s="79">
        <v>0.85</v>
      </c>
      <c r="Z345" s="79"/>
      <c r="AA345" s="79"/>
      <c r="AB345" s="80"/>
      <c r="AC345" s="95">
        <f t="shared" si="281"/>
        <v>1470268.8</v>
      </c>
      <c r="AD345" s="87"/>
      <c r="AE345" s="77">
        <f t="shared" si="282"/>
        <v>10404</v>
      </c>
      <c r="AF345" s="88"/>
    </row>
    <row r="346" spans="2:32" s="43" customFormat="1" hidden="1">
      <c r="B346" s="17" t="s">
        <v>6</v>
      </c>
      <c r="C346" s="40" t="s">
        <v>14</v>
      </c>
      <c r="D346" s="40" t="s">
        <v>117</v>
      </c>
      <c r="E346" s="91" t="s">
        <v>118</v>
      </c>
      <c r="F346" s="40" t="s">
        <v>114</v>
      </c>
      <c r="G346" s="40"/>
      <c r="H346" s="40" t="s">
        <v>52</v>
      </c>
      <c r="I346" s="57">
        <v>2023</v>
      </c>
      <c r="J346" s="57">
        <v>12</v>
      </c>
      <c r="K346" s="29">
        <v>45597</v>
      </c>
      <c r="L346" s="66"/>
      <c r="M346" s="94">
        <f t="shared" si="270"/>
        <v>0.100815</v>
      </c>
      <c r="N346" s="94">
        <f t="shared" si="271"/>
        <v>0.12012</v>
      </c>
      <c r="O346" s="94">
        <f t="shared" si="272"/>
        <v>1.9305000000000003E-2</v>
      </c>
      <c r="P346" s="68"/>
      <c r="Q346" s="100">
        <v>1</v>
      </c>
      <c r="R346" s="104">
        <f t="shared" si="256"/>
        <v>0.100815</v>
      </c>
      <c r="S346" s="73">
        <v>10020000</v>
      </c>
      <c r="T346" s="73">
        <f t="shared" si="280"/>
        <v>178940542</v>
      </c>
      <c r="U346" s="95">
        <f t="shared" si="274"/>
        <v>5241660.7692307718</v>
      </c>
      <c r="V346" s="95">
        <f>243692.603098214*7.15</f>
        <v>1742402.1121522302</v>
      </c>
      <c r="W346" s="40" t="s">
        <v>70</v>
      </c>
      <c r="X346" s="129" t="s">
        <v>71</v>
      </c>
      <c r="Y346" s="79">
        <v>0.85</v>
      </c>
      <c r="Z346" s="79"/>
      <c r="AA346" s="79"/>
      <c r="AB346" s="80"/>
      <c r="AC346" s="95">
        <f t="shared" si="281"/>
        <v>1203602.4000000001</v>
      </c>
      <c r="AD346" s="87"/>
      <c r="AE346" s="77">
        <f t="shared" si="282"/>
        <v>8517</v>
      </c>
      <c r="AF346" s="88"/>
    </row>
    <row r="347" spans="2:32" s="43" customFormat="1" hidden="1">
      <c r="B347" s="17" t="s">
        <v>6</v>
      </c>
      <c r="C347" s="40" t="s">
        <v>14</v>
      </c>
      <c r="D347" s="40" t="s">
        <v>117</v>
      </c>
      <c r="E347" s="91" t="s">
        <v>118</v>
      </c>
      <c r="F347" s="40" t="s">
        <v>114</v>
      </c>
      <c r="G347" s="40"/>
      <c r="H347" s="40" t="s">
        <v>52</v>
      </c>
      <c r="I347" s="57">
        <v>2023</v>
      </c>
      <c r="J347" s="57">
        <v>11</v>
      </c>
      <c r="K347" s="29">
        <v>45597</v>
      </c>
      <c r="L347" s="66"/>
      <c r="M347" s="94">
        <f t="shared" si="270"/>
        <v>0.100815</v>
      </c>
      <c r="N347" s="94">
        <f t="shared" si="271"/>
        <v>0.12012</v>
      </c>
      <c r="O347" s="94">
        <f t="shared" si="272"/>
        <v>1.9305000000000003E-2</v>
      </c>
      <c r="P347" s="68"/>
      <c r="Q347" s="100">
        <v>1</v>
      </c>
      <c r="R347" s="104">
        <f t="shared" si="256"/>
        <v>0.100815</v>
      </c>
      <c r="S347" s="73">
        <v>8160000</v>
      </c>
      <c r="T347" s="73">
        <f t="shared" si="280"/>
        <v>168920542</v>
      </c>
      <c r="U347" s="95">
        <f t="shared" si="274"/>
        <v>5241660.7692307718</v>
      </c>
      <c r="V347" s="95">
        <f>271097.55075933*7.15</f>
        <v>1938347.4879292096</v>
      </c>
      <c r="W347" s="40" t="s">
        <v>70</v>
      </c>
      <c r="X347" s="129" t="s">
        <v>71</v>
      </c>
      <c r="Y347" s="79">
        <v>0.85</v>
      </c>
      <c r="Z347" s="79"/>
      <c r="AA347" s="79"/>
      <c r="AB347" s="80"/>
      <c r="AC347" s="95">
        <f t="shared" si="281"/>
        <v>980179.20000000007</v>
      </c>
      <c r="AD347" s="87"/>
      <c r="AE347" s="77">
        <f t="shared" si="282"/>
        <v>6936</v>
      </c>
      <c r="AF347" s="88"/>
    </row>
    <row r="348" spans="2:32" s="43" customFormat="1" hidden="1">
      <c r="B348" s="17" t="s">
        <v>6</v>
      </c>
      <c r="C348" s="40" t="s">
        <v>14</v>
      </c>
      <c r="D348" s="40" t="s">
        <v>117</v>
      </c>
      <c r="E348" s="91" t="s">
        <v>118</v>
      </c>
      <c r="F348" s="40" t="s">
        <v>114</v>
      </c>
      <c r="G348" s="40"/>
      <c r="H348" s="40" t="s">
        <v>52</v>
      </c>
      <c r="I348" s="57">
        <v>2023</v>
      </c>
      <c r="J348" s="57">
        <v>10</v>
      </c>
      <c r="K348" s="29">
        <v>45597</v>
      </c>
      <c r="L348" s="66"/>
      <c r="M348" s="94">
        <f t="shared" si="270"/>
        <v>0.100815</v>
      </c>
      <c r="N348" s="94">
        <f t="shared" si="271"/>
        <v>0.12012</v>
      </c>
      <c r="O348" s="94">
        <f t="shared" si="272"/>
        <v>1.9305000000000003E-2</v>
      </c>
      <c r="P348" s="68"/>
      <c r="Q348" s="100">
        <v>1</v>
      </c>
      <c r="R348" s="104">
        <f t="shared" si="256"/>
        <v>0.100815</v>
      </c>
      <c r="S348" s="73">
        <v>5220000</v>
      </c>
      <c r="T348" s="73">
        <f t="shared" si="280"/>
        <v>160760542</v>
      </c>
      <c r="U348" s="95">
        <f t="shared" si="274"/>
        <v>5241660.7692307718</v>
      </c>
      <c r="V348" s="95">
        <f>293415.352447425*7.15</f>
        <v>2097919.7699990892</v>
      </c>
      <c r="W348" s="40" t="s">
        <v>70</v>
      </c>
      <c r="X348" s="129" t="s">
        <v>71</v>
      </c>
      <c r="Y348" s="79">
        <v>0.85</v>
      </c>
      <c r="Z348" s="79"/>
      <c r="AA348" s="79"/>
      <c r="AB348" s="80"/>
      <c r="AC348" s="95">
        <f t="shared" si="281"/>
        <v>627026.4</v>
      </c>
      <c r="AD348" s="87"/>
      <c r="AE348" s="77">
        <f t="shared" si="282"/>
        <v>4437</v>
      </c>
      <c r="AF348" s="88"/>
    </row>
    <row r="349" spans="2:32" s="43" customFormat="1" hidden="1">
      <c r="B349" s="17" t="s">
        <v>6</v>
      </c>
      <c r="C349" s="40" t="s">
        <v>14</v>
      </c>
      <c r="D349" s="40" t="s">
        <v>117</v>
      </c>
      <c r="E349" s="91" t="s">
        <v>118</v>
      </c>
      <c r="F349" s="40" t="s">
        <v>114</v>
      </c>
      <c r="G349" s="40"/>
      <c r="H349" s="40" t="s">
        <v>52</v>
      </c>
      <c r="I349" s="57">
        <v>2023</v>
      </c>
      <c r="J349" s="57">
        <v>9</v>
      </c>
      <c r="K349" s="29">
        <v>45597</v>
      </c>
      <c r="L349" s="66"/>
      <c r="M349" s="94">
        <f t="shared" si="270"/>
        <v>0.100815</v>
      </c>
      <c r="N349" s="94">
        <f t="shared" si="271"/>
        <v>0.12012</v>
      </c>
      <c r="O349" s="94">
        <f t="shared" si="272"/>
        <v>1.9305000000000003E-2</v>
      </c>
      <c r="P349" s="68"/>
      <c r="Q349" s="100">
        <v>1</v>
      </c>
      <c r="R349" s="104">
        <f t="shared" si="256"/>
        <v>0.100815</v>
      </c>
      <c r="S349" s="73">
        <v>4800000</v>
      </c>
      <c r="T349" s="73">
        <f t="shared" si="280"/>
        <v>155540542</v>
      </c>
      <c r="U349" s="95">
        <f t="shared" si="274"/>
        <v>5241660.7692307718</v>
      </c>
      <c r="V349" s="95">
        <f>307692.181468486*7.15</f>
        <v>2199999.0974996747</v>
      </c>
      <c r="W349" s="40" t="s">
        <v>70</v>
      </c>
      <c r="X349" s="129" t="s">
        <v>71</v>
      </c>
      <c r="Y349" s="79">
        <v>0.85</v>
      </c>
      <c r="Z349" s="79"/>
      <c r="AA349" s="79"/>
      <c r="AB349" s="80"/>
      <c r="AC349" s="95">
        <f t="shared" si="281"/>
        <v>576576</v>
      </c>
      <c r="AD349" s="87"/>
      <c r="AE349" s="77">
        <f t="shared" si="282"/>
        <v>4080</v>
      </c>
      <c r="AF349" s="88"/>
    </row>
    <row r="350" spans="2:32" s="43" customFormat="1" hidden="1">
      <c r="B350" s="17" t="s">
        <v>6</v>
      </c>
      <c r="C350" s="40" t="s">
        <v>14</v>
      </c>
      <c r="D350" s="40" t="s">
        <v>117</v>
      </c>
      <c r="E350" s="91" t="s">
        <v>118</v>
      </c>
      <c r="F350" s="40" t="s">
        <v>114</v>
      </c>
      <c r="G350" s="40"/>
      <c r="H350" s="40" t="s">
        <v>52</v>
      </c>
      <c r="I350" s="57">
        <v>2023</v>
      </c>
      <c r="J350" s="57">
        <v>8</v>
      </c>
      <c r="K350" s="29">
        <v>45597</v>
      </c>
      <c r="L350" s="66"/>
      <c r="M350" s="94">
        <f t="shared" si="270"/>
        <v>0.100815</v>
      </c>
      <c r="N350" s="94">
        <f t="shared" si="271"/>
        <v>0.12012</v>
      </c>
      <c r="O350" s="94">
        <f t="shared" si="272"/>
        <v>1.9305000000000003E-2</v>
      </c>
      <c r="P350" s="68"/>
      <c r="Q350" s="100">
        <v>1</v>
      </c>
      <c r="R350" s="104">
        <f t="shared" si="256"/>
        <v>0.100815</v>
      </c>
      <c r="S350" s="73">
        <v>8340000</v>
      </c>
      <c r="T350" s="73">
        <f t="shared" si="280"/>
        <v>150740542</v>
      </c>
      <c r="U350" s="95">
        <f t="shared" si="274"/>
        <v>5241660.7692307718</v>
      </c>
      <c r="V350" s="95">
        <f>320820.300108542*7.15</f>
        <v>2293865.1457760758</v>
      </c>
      <c r="W350" s="40" t="s">
        <v>70</v>
      </c>
      <c r="X350" s="129" t="s">
        <v>71</v>
      </c>
      <c r="Y350" s="79">
        <v>0.85</v>
      </c>
      <c r="Z350" s="79"/>
      <c r="AA350" s="79"/>
      <c r="AB350" s="80"/>
      <c r="AC350" s="95">
        <f t="shared" si="281"/>
        <v>1001800.8</v>
      </c>
      <c r="AD350" s="87"/>
      <c r="AE350" s="77">
        <f t="shared" si="282"/>
        <v>7089</v>
      </c>
      <c r="AF350" s="88"/>
    </row>
    <row r="351" spans="2:32" s="43" customFormat="1" hidden="1">
      <c r="B351" s="17" t="s">
        <v>6</v>
      </c>
      <c r="C351" s="40" t="s">
        <v>14</v>
      </c>
      <c r="D351" s="40" t="s">
        <v>117</v>
      </c>
      <c r="E351" s="91" t="s">
        <v>118</v>
      </c>
      <c r="F351" s="40" t="s">
        <v>114</v>
      </c>
      <c r="G351" s="40"/>
      <c r="H351" s="40" t="s">
        <v>52</v>
      </c>
      <c r="I351" s="57">
        <v>2023</v>
      </c>
      <c r="J351" s="57">
        <v>7</v>
      </c>
      <c r="K351" s="29">
        <v>45597</v>
      </c>
      <c r="L351" s="66"/>
      <c r="M351" s="94">
        <f t="shared" si="270"/>
        <v>0.100815</v>
      </c>
      <c r="N351" s="94">
        <f t="shared" si="271"/>
        <v>0.12012</v>
      </c>
      <c r="O351" s="94">
        <f t="shared" si="272"/>
        <v>1.9305000000000003E-2</v>
      </c>
      <c r="P351" s="68"/>
      <c r="Q351" s="100">
        <v>1</v>
      </c>
      <c r="R351" s="104">
        <f t="shared" si="256"/>
        <v>0.100815</v>
      </c>
      <c r="S351" s="73">
        <v>9540000</v>
      </c>
      <c r="T351" s="73">
        <f t="shared" si="280"/>
        <v>142400542</v>
      </c>
      <c r="U351" s="95">
        <f t="shared" si="274"/>
        <v>5241660.7692307718</v>
      </c>
      <c r="V351" s="95">
        <f>343630.406245638*7.15</f>
        <v>2456957.4046563115</v>
      </c>
      <c r="W351" s="40" t="s">
        <v>70</v>
      </c>
      <c r="X351" s="129" t="s">
        <v>71</v>
      </c>
      <c r="Y351" s="79">
        <v>0.85</v>
      </c>
      <c r="Z351" s="79"/>
      <c r="AA351" s="79"/>
      <c r="AB351" s="80"/>
      <c r="AC351" s="95">
        <f t="shared" si="281"/>
        <v>1145944.8</v>
      </c>
      <c r="AD351" s="87"/>
      <c r="AE351" s="77">
        <f t="shared" si="282"/>
        <v>8109</v>
      </c>
      <c r="AF351" s="88"/>
    </row>
    <row r="352" spans="2:32" s="43" customFormat="1" hidden="1">
      <c r="B352" s="17" t="s">
        <v>6</v>
      </c>
      <c r="C352" s="40" t="s">
        <v>14</v>
      </c>
      <c r="D352" s="40" t="s">
        <v>117</v>
      </c>
      <c r="E352" s="91" t="s">
        <v>118</v>
      </c>
      <c r="F352" s="40" t="s">
        <v>114</v>
      </c>
      <c r="G352" s="40"/>
      <c r="H352" s="40" t="s">
        <v>52</v>
      </c>
      <c r="I352" s="57">
        <v>2023</v>
      </c>
      <c r="J352" s="57">
        <v>6</v>
      </c>
      <c r="K352" s="29">
        <v>45597</v>
      </c>
      <c r="L352" s="66"/>
      <c r="M352" s="94">
        <f t="shared" si="270"/>
        <v>0.100815</v>
      </c>
      <c r="N352" s="94">
        <f t="shared" si="271"/>
        <v>0.12012</v>
      </c>
      <c r="O352" s="94">
        <f t="shared" si="272"/>
        <v>1.9305000000000003E-2</v>
      </c>
      <c r="P352" s="68"/>
      <c r="Q352" s="100">
        <v>1</v>
      </c>
      <c r="R352" s="104">
        <f t="shared" si="256"/>
        <v>0.100815</v>
      </c>
      <c r="S352" s="73">
        <v>12420000</v>
      </c>
      <c r="T352" s="73">
        <f t="shared" si="280"/>
        <v>132860542</v>
      </c>
      <c r="U352" s="95">
        <f t="shared" si="274"/>
        <v>5241660.7692307718</v>
      </c>
      <c r="V352" s="95">
        <f>369722.542042749*7.15</f>
        <v>2643516.1756056556</v>
      </c>
      <c r="W352" s="40" t="s">
        <v>70</v>
      </c>
      <c r="X352" s="129" t="s">
        <v>71</v>
      </c>
      <c r="Y352" s="79">
        <v>0.85</v>
      </c>
      <c r="Z352" s="79"/>
      <c r="AA352" s="79"/>
      <c r="AB352" s="80"/>
      <c r="AC352" s="95">
        <f t="shared" si="281"/>
        <v>1491890.4000000001</v>
      </c>
      <c r="AD352" s="87"/>
      <c r="AE352" s="77">
        <f t="shared" si="282"/>
        <v>10557</v>
      </c>
      <c r="AF352" s="88"/>
    </row>
    <row r="353" spans="2:32" s="43" customFormat="1" hidden="1">
      <c r="B353" s="17" t="s">
        <v>6</v>
      </c>
      <c r="C353" s="40" t="s">
        <v>14</v>
      </c>
      <c r="D353" s="40" t="s">
        <v>117</v>
      </c>
      <c r="E353" s="91" t="s">
        <v>118</v>
      </c>
      <c r="F353" s="40" t="s">
        <v>114</v>
      </c>
      <c r="G353" s="40"/>
      <c r="H353" s="40" t="s">
        <v>52</v>
      </c>
      <c r="I353" s="57">
        <v>2023</v>
      </c>
      <c r="J353" s="57">
        <v>5</v>
      </c>
      <c r="K353" s="29">
        <v>45597</v>
      </c>
      <c r="L353" s="66"/>
      <c r="M353" s="94">
        <f t="shared" si="270"/>
        <v>0.100815</v>
      </c>
      <c r="N353" s="94">
        <f t="shared" si="271"/>
        <v>0.12012</v>
      </c>
      <c r="O353" s="94">
        <f t="shared" si="272"/>
        <v>1.9305000000000003E-2</v>
      </c>
      <c r="P353" s="68"/>
      <c r="Q353" s="100">
        <v>1</v>
      </c>
      <c r="R353" s="104">
        <f t="shared" si="256"/>
        <v>0.100815</v>
      </c>
      <c r="S353" s="73">
        <v>8460000</v>
      </c>
      <c r="T353" s="73">
        <f t="shared" si="280"/>
        <v>120440542</v>
      </c>
      <c r="U353" s="95">
        <f t="shared" si="274"/>
        <v>5241660.7692307718</v>
      </c>
      <c r="V353" s="95">
        <f>403691.549023894*7.15</f>
        <v>2886394.5755208423</v>
      </c>
      <c r="W353" s="40" t="s">
        <v>70</v>
      </c>
      <c r="X353" s="129" t="s">
        <v>71</v>
      </c>
      <c r="Y353" s="79">
        <v>0.85</v>
      </c>
      <c r="Z353" s="79"/>
      <c r="AA353" s="79"/>
      <c r="AB353" s="80"/>
      <c r="AC353" s="95">
        <f t="shared" si="281"/>
        <v>1016215.2000000001</v>
      </c>
      <c r="AD353" s="87"/>
      <c r="AE353" s="77">
        <f t="shared" si="282"/>
        <v>7191</v>
      </c>
      <c r="AF353" s="88"/>
    </row>
    <row r="354" spans="2:32" s="43" customFormat="1" hidden="1">
      <c r="B354" s="17" t="s">
        <v>6</v>
      </c>
      <c r="C354" s="40" t="s">
        <v>14</v>
      </c>
      <c r="D354" s="40" t="s">
        <v>117</v>
      </c>
      <c r="E354" s="91" t="s">
        <v>118</v>
      </c>
      <c r="F354" s="40" t="s">
        <v>114</v>
      </c>
      <c r="G354" s="40"/>
      <c r="H354" s="40" t="s">
        <v>52</v>
      </c>
      <c r="I354" s="57">
        <v>2023</v>
      </c>
      <c r="J354" s="57">
        <v>4</v>
      </c>
      <c r="K354" s="29">
        <v>45597</v>
      </c>
      <c r="L354" s="66"/>
      <c r="M354" s="94">
        <f t="shared" si="270"/>
        <v>0.100815</v>
      </c>
      <c r="N354" s="94">
        <f t="shared" si="271"/>
        <v>0.12012</v>
      </c>
      <c r="O354" s="94">
        <f t="shared" si="272"/>
        <v>1.9305000000000003E-2</v>
      </c>
      <c r="P354" s="68"/>
      <c r="Q354" s="100">
        <v>1</v>
      </c>
      <c r="R354" s="104">
        <f t="shared" si="256"/>
        <v>0.100815</v>
      </c>
      <c r="S354" s="73">
        <v>14609000</v>
      </c>
      <c r="T354" s="73">
        <f t="shared" si="280"/>
        <v>111980542</v>
      </c>
      <c r="U354" s="95">
        <f t="shared" si="274"/>
        <v>5241660.7692307718</v>
      </c>
      <c r="V354" s="95">
        <f>426829.858126992*7.15</f>
        <v>3051833.4856079929</v>
      </c>
      <c r="W354" s="40" t="s">
        <v>70</v>
      </c>
      <c r="X354" s="129" t="s">
        <v>71</v>
      </c>
      <c r="Y354" s="79">
        <v>0.85</v>
      </c>
      <c r="Z354" s="79"/>
      <c r="AA354" s="79"/>
      <c r="AB354" s="80"/>
      <c r="AC354" s="95">
        <f t="shared" si="281"/>
        <v>1754833.08</v>
      </c>
      <c r="AD354" s="87"/>
      <c r="AE354" s="77">
        <f t="shared" si="282"/>
        <v>12417.65</v>
      </c>
      <c r="AF354" s="88"/>
    </row>
    <row r="355" spans="2:32" s="43" customFormat="1" hidden="1">
      <c r="B355" s="17" t="s">
        <v>6</v>
      </c>
      <c r="C355" s="40" t="s">
        <v>14</v>
      </c>
      <c r="D355" s="40" t="s">
        <v>117</v>
      </c>
      <c r="E355" s="91" t="s">
        <v>118</v>
      </c>
      <c r="F355" s="40" t="s">
        <v>114</v>
      </c>
      <c r="G355" s="40"/>
      <c r="H355" s="40" t="s">
        <v>52</v>
      </c>
      <c r="I355" s="57">
        <v>2023</v>
      </c>
      <c r="J355" s="57">
        <v>3</v>
      </c>
      <c r="K355" s="29">
        <v>45597</v>
      </c>
      <c r="L355" s="66"/>
      <c r="M355" s="94">
        <f t="shared" si="270"/>
        <v>0.100815</v>
      </c>
      <c r="N355" s="94">
        <f t="shared" si="271"/>
        <v>0.12012</v>
      </c>
      <c r="O355" s="94">
        <f t="shared" si="272"/>
        <v>1.9305000000000003E-2</v>
      </c>
      <c r="P355" s="68"/>
      <c r="Q355" s="100">
        <v>1</v>
      </c>
      <c r="R355" s="104">
        <f t="shared" si="256"/>
        <v>0.100815</v>
      </c>
      <c r="S355" s="73">
        <v>13522000</v>
      </c>
      <c r="T355" s="73">
        <f t="shared" si="280"/>
        <v>97371542</v>
      </c>
      <c r="U355" s="95">
        <f t="shared" si="274"/>
        <v>5241660.7692307718</v>
      </c>
      <c r="V355" s="95">
        <f>466785.834212945*7.15</f>
        <v>3337518.7146225572</v>
      </c>
      <c r="W355" s="40" t="s">
        <v>70</v>
      </c>
      <c r="X355" s="129" t="s">
        <v>71</v>
      </c>
      <c r="Y355" s="79">
        <v>0.85</v>
      </c>
      <c r="Z355" s="79"/>
      <c r="AA355" s="79"/>
      <c r="AB355" s="80"/>
      <c r="AC355" s="95">
        <f t="shared" si="281"/>
        <v>1624262.6400000001</v>
      </c>
      <c r="AD355" s="87"/>
      <c r="AE355" s="77">
        <f t="shared" si="282"/>
        <v>11493.7</v>
      </c>
      <c r="AF355" s="88"/>
    </row>
    <row r="356" spans="2:32" s="43" customFormat="1" hidden="1">
      <c r="B356" s="17" t="s">
        <v>6</v>
      </c>
      <c r="C356" s="40" t="s">
        <v>14</v>
      </c>
      <c r="D356" s="40" t="s">
        <v>117</v>
      </c>
      <c r="E356" s="91" t="s">
        <v>118</v>
      </c>
      <c r="F356" s="40" t="s">
        <v>114</v>
      </c>
      <c r="G356" s="40"/>
      <c r="H356" s="40" t="s">
        <v>52</v>
      </c>
      <c r="I356" s="57">
        <v>2023</v>
      </c>
      <c r="J356" s="57">
        <v>2</v>
      </c>
      <c r="K356" s="29">
        <v>45597</v>
      </c>
      <c r="L356" s="66"/>
      <c r="M356" s="94">
        <f t="shared" si="270"/>
        <v>0.100815</v>
      </c>
      <c r="N356" s="94">
        <f t="shared" si="271"/>
        <v>0.12012</v>
      </c>
      <c r="O356" s="94">
        <f t="shared" si="272"/>
        <v>1.9305000000000003E-2</v>
      </c>
      <c r="P356" s="68"/>
      <c r="Q356" s="100">
        <v>1</v>
      </c>
      <c r="R356" s="104">
        <f>Q356*M356</f>
        <v>0.100815</v>
      </c>
      <c r="S356" s="73">
        <v>13380000</v>
      </c>
      <c r="T356" s="73">
        <f t="shared" si="280"/>
        <v>83849542</v>
      </c>
      <c r="U356" s="95">
        <f t="shared" si="274"/>
        <v>5241660.7692307718</v>
      </c>
      <c r="V356" s="95">
        <f>503768.838431869*7.15</f>
        <v>3601947.1947878636</v>
      </c>
      <c r="W356" s="40" t="s">
        <v>70</v>
      </c>
      <c r="X356" s="129" t="s">
        <v>71</v>
      </c>
      <c r="Y356" s="79">
        <v>0.85</v>
      </c>
      <c r="Z356" s="79"/>
      <c r="AA356" s="79"/>
      <c r="AB356" s="80"/>
      <c r="AC356" s="95">
        <f t="shared" si="281"/>
        <v>1607205.6</v>
      </c>
      <c r="AD356" s="87"/>
      <c r="AE356" s="77">
        <f t="shared" si="282"/>
        <v>11373</v>
      </c>
      <c r="AF356" s="88"/>
    </row>
    <row r="357" spans="2:32" s="43" customFormat="1" hidden="1">
      <c r="B357" s="17" t="s">
        <v>6</v>
      </c>
      <c r="C357" s="40" t="s">
        <v>14</v>
      </c>
      <c r="D357" s="40" t="s">
        <v>117</v>
      </c>
      <c r="E357" s="91" t="s">
        <v>118</v>
      </c>
      <c r="F357" s="40" t="s">
        <v>114</v>
      </c>
      <c r="G357" s="40"/>
      <c r="H357" s="40" t="s">
        <v>52</v>
      </c>
      <c r="I357" s="57">
        <v>2023</v>
      </c>
      <c r="J357" s="57">
        <v>1</v>
      </c>
      <c r="K357" s="29">
        <v>45597</v>
      </c>
      <c r="L357" s="66"/>
      <c r="M357" s="94">
        <f t="shared" si="270"/>
        <v>0.100815</v>
      </c>
      <c r="N357" s="94">
        <f t="shared" si="271"/>
        <v>0.12012</v>
      </c>
      <c r="O357" s="94">
        <f t="shared" si="272"/>
        <v>1.9305000000000003E-2</v>
      </c>
      <c r="P357" s="68"/>
      <c r="Q357" s="100">
        <v>1</v>
      </c>
      <c r="R357" s="104">
        <f t="shared" si="256"/>
        <v>0.100815</v>
      </c>
      <c r="S357" s="73">
        <v>14678000</v>
      </c>
      <c r="T357" s="73">
        <v>70469542</v>
      </c>
      <c r="U357" s="95">
        <f t="shared" si="274"/>
        <v>5241660.7692307718</v>
      </c>
      <c r="V357" s="95">
        <f>540363.469141025*7.15</f>
        <v>3863598.8043583287</v>
      </c>
      <c r="W357" s="40" t="s">
        <v>70</v>
      </c>
      <c r="X357" s="129" t="s">
        <v>71</v>
      </c>
      <c r="Y357" s="79">
        <v>0.85</v>
      </c>
      <c r="Z357" s="79"/>
      <c r="AA357" s="79"/>
      <c r="AB357" s="80"/>
      <c r="AC357" s="95">
        <f t="shared" si="281"/>
        <v>1763121.36</v>
      </c>
      <c r="AD357" s="87"/>
      <c r="AE357" s="77">
        <f t="shared" si="282"/>
        <v>12476.3</v>
      </c>
      <c r="AF357" s="88"/>
    </row>
    <row r="358" spans="2:32" s="43" customFormat="1">
      <c r="B358" s="17" t="s">
        <v>6</v>
      </c>
      <c r="C358" s="40" t="s">
        <v>14</v>
      </c>
      <c r="D358" s="40" t="s">
        <v>85</v>
      </c>
      <c r="E358" s="91" t="s">
        <v>119</v>
      </c>
      <c r="F358" s="40" t="s">
        <v>114</v>
      </c>
      <c r="G358" s="40"/>
      <c r="H358" s="40" t="s">
        <v>52</v>
      </c>
      <c r="I358" s="57">
        <v>2025</v>
      </c>
      <c r="J358" s="57">
        <v>2</v>
      </c>
      <c r="K358" s="29">
        <v>45722</v>
      </c>
      <c r="L358" s="66"/>
      <c r="M358" s="94">
        <f t="shared" ref="M358:M383" si="283">0.0123*7.15</f>
        <v>8.7945000000000009E-2</v>
      </c>
      <c r="N358" s="94">
        <f t="shared" ref="N358:N383" si="284">0.0177*7.15</f>
        <v>0.126555</v>
      </c>
      <c r="O358" s="94">
        <f t="shared" ref="O358:O383" si="285">0.0054*7.15</f>
        <v>3.8610000000000005E-2</v>
      </c>
      <c r="P358" s="68"/>
      <c r="Q358" s="100">
        <v>1</v>
      </c>
      <c r="R358" s="104">
        <f t="shared" ref="R358" si="286">Q358*M358</f>
        <v>8.7945000000000009E-2</v>
      </c>
      <c r="S358" s="73">
        <v>16954502</v>
      </c>
      <c r="T358" s="143">
        <f>S358+T359</f>
        <v>353727089</v>
      </c>
      <c r="U358" s="137">
        <f t="shared" ref="U358:U383" si="287">1330061.54906115*7.15</f>
        <v>9509940.0757872239</v>
      </c>
      <c r="V358" s="137">
        <f>-425053*7.15</f>
        <v>-3039128.95</v>
      </c>
      <c r="W358" s="40" t="s">
        <v>78</v>
      </c>
      <c r="X358" s="129" t="s">
        <v>87</v>
      </c>
      <c r="Y358" s="79">
        <v>0.31</v>
      </c>
      <c r="Z358" s="79"/>
      <c r="AA358" s="79"/>
      <c r="AB358" s="80"/>
      <c r="AC358" s="95">
        <f t="shared" si="281"/>
        <v>2145677.00061</v>
      </c>
      <c r="AD358" s="87"/>
      <c r="AE358" s="77">
        <f t="shared" si="282"/>
        <v>5255.8956200000002</v>
      </c>
      <c r="AF358" s="88"/>
    </row>
    <row r="359" spans="2:32" s="43" customFormat="1" hidden="1">
      <c r="B359" s="17" t="s">
        <v>6</v>
      </c>
      <c r="C359" s="40" t="s">
        <v>14</v>
      </c>
      <c r="D359" s="40" t="s">
        <v>85</v>
      </c>
      <c r="E359" s="91" t="s">
        <v>119</v>
      </c>
      <c r="F359" s="40" t="s">
        <v>114</v>
      </c>
      <c r="G359" s="40"/>
      <c r="H359" s="40" t="s">
        <v>52</v>
      </c>
      <c r="I359" s="57">
        <v>2025</v>
      </c>
      <c r="J359" s="57">
        <v>1</v>
      </c>
      <c r="K359" s="29">
        <v>45705</v>
      </c>
      <c r="L359" s="66"/>
      <c r="M359" s="94">
        <f t="shared" si="283"/>
        <v>8.7945000000000009E-2</v>
      </c>
      <c r="N359" s="94">
        <f t="shared" si="284"/>
        <v>0.126555</v>
      </c>
      <c r="O359" s="94">
        <f t="shared" si="285"/>
        <v>3.8610000000000005E-2</v>
      </c>
      <c r="P359" s="68"/>
      <c r="Q359" s="100">
        <v>1</v>
      </c>
      <c r="R359" s="104">
        <f t="shared" si="256"/>
        <v>8.7945000000000009E-2</v>
      </c>
      <c r="S359" s="73">
        <v>11184000</v>
      </c>
      <c r="T359" s="73">
        <f>S359+T360</f>
        <v>336772587</v>
      </c>
      <c r="U359" s="95">
        <f t="shared" si="287"/>
        <v>9509940.0757872239</v>
      </c>
      <c r="V359" s="95">
        <f>-333388.1348
*7.15</f>
        <v>-2383725.1638199999</v>
      </c>
      <c r="W359" s="40" t="s">
        <v>78</v>
      </c>
      <c r="X359" s="129" t="s">
        <v>87</v>
      </c>
      <c r="Y359" s="79">
        <v>0.31</v>
      </c>
      <c r="Z359" s="79"/>
      <c r="AA359" s="79"/>
      <c r="AB359" s="80"/>
      <c r="AC359" s="95">
        <f t="shared" ref="AC359" si="288">N359*S359</f>
        <v>1415391.12</v>
      </c>
      <c r="AD359" s="87"/>
      <c r="AE359" s="77">
        <f t="shared" ref="AE359" si="289">S359*Y359/1000</f>
        <v>3467.04</v>
      </c>
      <c r="AF359" s="88"/>
    </row>
    <row r="360" spans="2:32" s="43" customFormat="1" hidden="1">
      <c r="B360" s="17" t="s">
        <v>6</v>
      </c>
      <c r="C360" s="40" t="s">
        <v>14</v>
      </c>
      <c r="D360" s="40" t="s">
        <v>85</v>
      </c>
      <c r="E360" s="91" t="s">
        <v>119</v>
      </c>
      <c r="F360" s="40" t="s">
        <v>114</v>
      </c>
      <c r="G360" s="40"/>
      <c r="H360" s="40" t="s">
        <v>52</v>
      </c>
      <c r="I360" s="57">
        <v>2024</v>
      </c>
      <c r="J360" s="57">
        <v>12</v>
      </c>
      <c r="K360" s="29">
        <v>45666</v>
      </c>
      <c r="L360" s="66"/>
      <c r="M360" s="94">
        <f t="shared" si="283"/>
        <v>8.7945000000000009E-2</v>
      </c>
      <c r="N360" s="94">
        <f t="shared" si="284"/>
        <v>0.126555</v>
      </c>
      <c r="O360" s="94">
        <f t="shared" si="285"/>
        <v>3.8610000000000005E-2</v>
      </c>
      <c r="P360" s="68"/>
      <c r="Q360" s="100">
        <v>1</v>
      </c>
      <c r="R360" s="104">
        <f t="shared" ref="R360" si="290">Q360*M360</f>
        <v>8.7945000000000009E-2</v>
      </c>
      <c r="S360" s="73">
        <v>14966854</v>
      </c>
      <c r="T360" s="73">
        <f>S360+T361</f>
        <v>325588587</v>
      </c>
      <c r="U360" s="95">
        <f t="shared" si="287"/>
        <v>9509940.0757872239</v>
      </c>
      <c r="V360" s="95">
        <f>-272921*7.15</f>
        <v>-1951385.1500000001</v>
      </c>
      <c r="W360" s="40" t="s">
        <v>78</v>
      </c>
      <c r="X360" s="129" t="s">
        <v>87</v>
      </c>
      <c r="Y360" s="79">
        <v>0.31</v>
      </c>
      <c r="Z360" s="79"/>
      <c r="AA360" s="79"/>
      <c r="AB360" s="80"/>
      <c r="AC360" s="95">
        <f t="shared" si="281"/>
        <v>1894130.2079700001</v>
      </c>
      <c r="AD360" s="87"/>
      <c r="AE360" s="77">
        <f t="shared" si="282"/>
        <v>4639.7247400000006</v>
      </c>
      <c r="AF360" s="88"/>
    </row>
    <row r="361" spans="2:32" s="43" customFormat="1" hidden="1">
      <c r="B361" s="17" t="s">
        <v>6</v>
      </c>
      <c r="C361" s="40" t="s">
        <v>14</v>
      </c>
      <c r="D361" s="40" t="s">
        <v>85</v>
      </c>
      <c r="E361" s="91" t="s">
        <v>119</v>
      </c>
      <c r="F361" s="40" t="s">
        <v>114</v>
      </c>
      <c r="G361" s="40"/>
      <c r="H361" s="40" t="s">
        <v>52</v>
      </c>
      <c r="I361" s="57">
        <v>2024</v>
      </c>
      <c r="J361" s="57">
        <v>11</v>
      </c>
      <c r="K361" s="29">
        <v>45629</v>
      </c>
      <c r="L361" s="66"/>
      <c r="M361" s="94">
        <f t="shared" si="283"/>
        <v>8.7945000000000009E-2</v>
      </c>
      <c r="N361" s="94">
        <f t="shared" si="284"/>
        <v>0.126555</v>
      </c>
      <c r="O361" s="94">
        <f t="shared" si="285"/>
        <v>3.8610000000000005E-2</v>
      </c>
      <c r="P361" s="68"/>
      <c r="Q361" s="100">
        <v>1</v>
      </c>
      <c r="R361" s="104">
        <f t="shared" si="256"/>
        <v>8.7945000000000009E-2</v>
      </c>
      <c r="S361" s="73">
        <v>11078900</v>
      </c>
      <c r="T361" s="73">
        <f>S361+T362</f>
        <v>310621733</v>
      </c>
      <c r="U361" s="95">
        <f t="shared" si="287"/>
        <v>9509940.0757872239</v>
      </c>
      <c r="V361" s="95">
        <f>-192002.6007*7.15</f>
        <v>-1372818.5950050002</v>
      </c>
      <c r="W361" s="40" t="s">
        <v>78</v>
      </c>
      <c r="X361" s="129" t="s">
        <v>87</v>
      </c>
      <c r="Y361" s="79">
        <v>0.31</v>
      </c>
      <c r="Z361" s="79"/>
      <c r="AA361" s="79"/>
      <c r="AB361" s="80"/>
      <c r="AC361" s="95">
        <f t="shared" ref="AC361" si="291">N361*S361</f>
        <v>1402090.1895000001</v>
      </c>
      <c r="AD361" s="87"/>
      <c r="AE361" s="77">
        <f t="shared" ref="AE361" si="292">S361*Y361/1000</f>
        <v>3434.4589999999998</v>
      </c>
      <c r="AF361" s="88"/>
    </row>
    <row r="362" spans="2:32" s="43" customFormat="1" hidden="1">
      <c r="B362" s="17" t="s">
        <v>6</v>
      </c>
      <c r="C362" s="40" t="s">
        <v>14</v>
      </c>
      <c r="D362" s="40" t="s">
        <v>85</v>
      </c>
      <c r="E362" s="91" t="s">
        <v>119</v>
      </c>
      <c r="F362" s="40" t="s">
        <v>114</v>
      </c>
      <c r="G362" s="40"/>
      <c r="H362" s="40" t="s">
        <v>52</v>
      </c>
      <c r="I362" s="57">
        <v>2024</v>
      </c>
      <c r="J362" s="57">
        <v>10</v>
      </c>
      <c r="K362" s="29">
        <v>45601</v>
      </c>
      <c r="L362" s="66"/>
      <c r="M362" s="94">
        <f t="shared" si="283"/>
        <v>8.7945000000000009E-2</v>
      </c>
      <c r="N362" s="94">
        <f t="shared" si="284"/>
        <v>0.126555</v>
      </c>
      <c r="O362" s="94">
        <f t="shared" si="285"/>
        <v>3.8610000000000005E-2</v>
      </c>
      <c r="P362" s="68"/>
      <c r="Q362" s="100">
        <v>1</v>
      </c>
      <c r="R362" s="104">
        <f t="shared" si="256"/>
        <v>8.7945000000000009E-2</v>
      </c>
      <c r="S362" s="73">
        <v>11748480</v>
      </c>
      <c r="T362" s="73">
        <f>S362+T363</f>
        <v>299542833</v>
      </c>
      <c r="U362" s="95">
        <f t="shared" si="287"/>
        <v>9509940.0757872239</v>
      </c>
      <c r="V362" s="95">
        <f>-132104.128869239*7.15</f>
        <v>-944544.52141505899</v>
      </c>
      <c r="W362" s="40" t="s">
        <v>78</v>
      </c>
      <c r="X362" s="129" t="s">
        <v>87</v>
      </c>
      <c r="Y362" s="79">
        <v>0.31</v>
      </c>
      <c r="Z362" s="79"/>
      <c r="AA362" s="79"/>
      <c r="AB362" s="80"/>
      <c r="AC362" s="95">
        <f t="shared" si="281"/>
        <v>1486828.8864</v>
      </c>
      <c r="AD362" s="87"/>
      <c r="AE362" s="77">
        <f t="shared" si="282"/>
        <v>3642.0287999999996</v>
      </c>
      <c r="AF362" s="88"/>
    </row>
    <row r="363" spans="2:32" s="43" customFormat="1" hidden="1">
      <c r="B363" s="17" t="s">
        <v>6</v>
      </c>
      <c r="C363" s="40" t="s">
        <v>14</v>
      </c>
      <c r="D363" s="40" t="s">
        <v>85</v>
      </c>
      <c r="E363" s="91" t="s">
        <v>119</v>
      </c>
      <c r="F363" s="40" t="s">
        <v>114</v>
      </c>
      <c r="G363" s="40"/>
      <c r="H363" s="40" t="s">
        <v>52</v>
      </c>
      <c r="I363" s="57">
        <v>2024</v>
      </c>
      <c r="J363" s="57">
        <v>9</v>
      </c>
      <c r="K363" s="29">
        <v>45597</v>
      </c>
      <c r="L363" s="66"/>
      <c r="M363" s="94">
        <f t="shared" si="283"/>
        <v>8.7945000000000009E-2</v>
      </c>
      <c r="N363" s="94">
        <f t="shared" si="284"/>
        <v>0.126555</v>
      </c>
      <c r="O363" s="94">
        <f t="shared" si="285"/>
        <v>3.8610000000000005E-2</v>
      </c>
      <c r="P363" s="68">
        <f>L363*O363</f>
        <v>0</v>
      </c>
      <c r="Q363" s="100">
        <v>1</v>
      </c>
      <c r="R363" s="104">
        <f t="shared" si="256"/>
        <v>8.7945000000000009E-2</v>
      </c>
      <c r="S363" s="73">
        <v>10010147</v>
      </c>
      <c r="T363" s="73">
        <v>287794353</v>
      </c>
      <c r="U363" s="95">
        <f t="shared" si="287"/>
        <v>9509940.0757872239</v>
      </c>
      <c r="V363" s="95">
        <f>-68585.5486043816*7.15</f>
        <v>-490386.6725213285</v>
      </c>
      <c r="W363" s="40" t="s">
        <v>78</v>
      </c>
      <c r="X363" s="129" t="s">
        <v>87</v>
      </c>
      <c r="Y363" s="79">
        <v>0.31</v>
      </c>
      <c r="Z363" s="79"/>
      <c r="AA363" s="79"/>
      <c r="AB363" s="80"/>
      <c r="AC363" s="95">
        <f>N363*S363</f>
        <v>1266834.153585</v>
      </c>
      <c r="AD363" s="87"/>
      <c r="AE363" s="77">
        <f>S363*Y363/1000</f>
        <v>3103.1455699999997</v>
      </c>
      <c r="AF363" s="88"/>
    </row>
    <row r="364" spans="2:32" s="43" customFormat="1" hidden="1">
      <c r="B364" s="17" t="s">
        <v>6</v>
      </c>
      <c r="C364" s="40" t="s">
        <v>14</v>
      </c>
      <c r="D364" s="40" t="s">
        <v>85</v>
      </c>
      <c r="E364" s="91" t="s">
        <v>119</v>
      </c>
      <c r="F364" s="40" t="s">
        <v>114</v>
      </c>
      <c r="G364" s="40"/>
      <c r="H364" s="40" t="s">
        <v>52</v>
      </c>
      <c r="I364" s="57">
        <v>2024</v>
      </c>
      <c r="J364" s="57">
        <v>8</v>
      </c>
      <c r="K364" s="29">
        <v>45597</v>
      </c>
      <c r="L364" s="66"/>
      <c r="M364" s="94">
        <f t="shared" si="283"/>
        <v>8.7945000000000009E-2</v>
      </c>
      <c r="N364" s="94">
        <f t="shared" si="284"/>
        <v>0.126555</v>
      </c>
      <c r="O364" s="94">
        <f t="shared" si="285"/>
        <v>3.8610000000000005E-2</v>
      </c>
      <c r="P364" s="68"/>
      <c r="Q364" s="100">
        <v>1</v>
      </c>
      <c r="R364" s="104">
        <f t="shared" si="256"/>
        <v>8.7945000000000009E-2</v>
      </c>
      <c r="S364" s="73">
        <v>9996000</v>
      </c>
      <c r="T364" s="73">
        <f t="shared" ref="T364:T382" si="293">S364+T365</f>
        <v>277784206</v>
      </c>
      <c r="U364" s="95">
        <f t="shared" si="287"/>
        <v>9509940.0757872239</v>
      </c>
      <c r="V364" s="95">
        <f>-14465.3283135417*7.15</f>
        <v>-103427.09744182316</v>
      </c>
      <c r="W364" s="40" t="s">
        <v>78</v>
      </c>
      <c r="X364" s="129" t="s">
        <v>87</v>
      </c>
      <c r="Y364" s="79">
        <v>0.31</v>
      </c>
      <c r="Z364" s="79"/>
      <c r="AA364" s="79"/>
      <c r="AB364" s="80"/>
      <c r="AC364" s="95">
        <f t="shared" ref="AC364:AC383" si="294">N364*S364</f>
        <v>1265043.78</v>
      </c>
      <c r="AD364" s="87"/>
      <c r="AE364" s="77">
        <f t="shared" ref="AE364:AE383" si="295">S364*Y364/1000</f>
        <v>3098.76</v>
      </c>
      <c r="AF364" s="88"/>
    </row>
    <row r="365" spans="2:32" s="43" customFormat="1" hidden="1">
      <c r="B365" s="17" t="s">
        <v>6</v>
      </c>
      <c r="C365" s="40" t="s">
        <v>14</v>
      </c>
      <c r="D365" s="40" t="s">
        <v>85</v>
      </c>
      <c r="E365" s="91" t="s">
        <v>119</v>
      </c>
      <c r="F365" s="40" t="s">
        <v>114</v>
      </c>
      <c r="G365" s="40"/>
      <c r="H365" s="40" t="s">
        <v>52</v>
      </c>
      <c r="I365" s="57">
        <v>2024</v>
      </c>
      <c r="J365" s="57">
        <v>7</v>
      </c>
      <c r="K365" s="29">
        <v>45597</v>
      </c>
      <c r="L365" s="66"/>
      <c r="M365" s="94">
        <f t="shared" si="283"/>
        <v>8.7945000000000009E-2</v>
      </c>
      <c r="N365" s="94">
        <f t="shared" si="284"/>
        <v>0.126555</v>
      </c>
      <c r="O365" s="94">
        <f t="shared" si="285"/>
        <v>3.8610000000000005E-2</v>
      </c>
      <c r="P365" s="68"/>
      <c r="Q365" s="100">
        <v>1</v>
      </c>
      <c r="R365" s="104">
        <f t="shared" ref="R365:R428" si="296">Q365*M365</f>
        <v>8.7945000000000009E-2</v>
      </c>
      <c r="S365" s="73">
        <v>14373389</v>
      </c>
      <c r="T365" s="73">
        <f t="shared" si="293"/>
        <v>267788206</v>
      </c>
      <c r="U365" s="95">
        <f t="shared" si="287"/>
        <v>9509940.0757872239</v>
      </c>
      <c r="V365" s="95">
        <f>39578.4057122657*7.15</f>
        <v>282985.60084269982</v>
      </c>
      <c r="W365" s="40" t="s">
        <v>78</v>
      </c>
      <c r="X365" s="129" t="s">
        <v>87</v>
      </c>
      <c r="Y365" s="79">
        <v>0.31</v>
      </c>
      <c r="Z365" s="79"/>
      <c r="AA365" s="79"/>
      <c r="AB365" s="80"/>
      <c r="AC365" s="95">
        <f t="shared" si="294"/>
        <v>1819024.244895</v>
      </c>
      <c r="AD365" s="87"/>
      <c r="AE365" s="77">
        <f t="shared" si="295"/>
        <v>4455.7505899999996</v>
      </c>
      <c r="AF365" s="88"/>
    </row>
    <row r="366" spans="2:32" s="43" customFormat="1" hidden="1">
      <c r="B366" s="17" t="s">
        <v>6</v>
      </c>
      <c r="C366" s="40" t="s">
        <v>14</v>
      </c>
      <c r="D366" s="40" t="s">
        <v>85</v>
      </c>
      <c r="E366" s="91" t="s">
        <v>119</v>
      </c>
      <c r="F366" s="40" t="s">
        <v>114</v>
      </c>
      <c r="G366" s="40"/>
      <c r="H366" s="40" t="s">
        <v>52</v>
      </c>
      <c r="I366" s="57">
        <v>2024</v>
      </c>
      <c r="J366" s="57">
        <v>6</v>
      </c>
      <c r="K366" s="29">
        <v>45597</v>
      </c>
      <c r="L366" s="66"/>
      <c r="M366" s="94">
        <f t="shared" si="283"/>
        <v>8.7945000000000009E-2</v>
      </c>
      <c r="N366" s="94">
        <f t="shared" si="284"/>
        <v>0.126555</v>
      </c>
      <c r="O366" s="94">
        <f t="shared" si="285"/>
        <v>3.8610000000000005E-2</v>
      </c>
      <c r="P366" s="68"/>
      <c r="Q366" s="100">
        <v>1</v>
      </c>
      <c r="R366" s="104">
        <f t="shared" si="296"/>
        <v>8.7945000000000009E-2</v>
      </c>
      <c r="S366" s="73">
        <v>8746500</v>
      </c>
      <c r="T366" s="73">
        <f t="shared" si="293"/>
        <v>253414817</v>
      </c>
      <c r="U366" s="95">
        <f t="shared" si="287"/>
        <v>9509940.0757872239</v>
      </c>
      <c r="V366" s="95">
        <f>117288.651026938*7.15</f>
        <v>838613.8548426067</v>
      </c>
      <c r="W366" s="40" t="s">
        <v>78</v>
      </c>
      <c r="X366" s="129" t="s">
        <v>87</v>
      </c>
      <c r="Y366" s="79">
        <v>0.31</v>
      </c>
      <c r="Z366" s="79"/>
      <c r="AA366" s="79"/>
      <c r="AB366" s="80"/>
      <c r="AC366" s="95">
        <f t="shared" si="294"/>
        <v>1106913.3075000001</v>
      </c>
      <c r="AD366" s="87"/>
      <c r="AE366" s="77">
        <f t="shared" si="295"/>
        <v>2711.415</v>
      </c>
      <c r="AF366" s="88"/>
    </row>
    <row r="367" spans="2:32" s="43" customFormat="1" hidden="1">
      <c r="B367" s="17" t="s">
        <v>6</v>
      </c>
      <c r="C367" s="40" t="s">
        <v>14</v>
      </c>
      <c r="D367" s="40" t="s">
        <v>85</v>
      </c>
      <c r="E367" s="91" t="s">
        <v>119</v>
      </c>
      <c r="F367" s="40" t="s">
        <v>114</v>
      </c>
      <c r="G367" s="40"/>
      <c r="H367" s="40" t="s">
        <v>52</v>
      </c>
      <c r="I367" s="57">
        <v>2024</v>
      </c>
      <c r="J367" s="57">
        <v>5</v>
      </c>
      <c r="K367" s="29">
        <v>45597</v>
      </c>
      <c r="L367" s="66"/>
      <c r="M367" s="94">
        <f t="shared" si="283"/>
        <v>8.7945000000000009E-2</v>
      </c>
      <c r="N367" s="94">
        <f t="shared" si="284"/>
        <v>0.126555</v>
      </c>
      <c r="O367" s="94">
        <f t="shared" si="285"/>
        <v>3.8610000000000005E-2</v>
      </c>
      <c r="P367" s="68"/>
      <c r="Q367" s="100">
        <v>1</v>
      </c>
      <c r="R367" s="104">
        <f t="shared" si="296"/>
        <v>8.7945000000000009E-2</v>
      </c>
      <c r="S367" s="73">
        <v>19589647</v>
      </c>
      <c r="T367" s="73">
        <f t="shared" si="293"/>
        <v>244668317</v>
      </c>
      <c r="U367" s="95">
        <f t="shared" si="287"/>
        <v>9509940.0757872239</v>
      </c>
      <c r="V367" s="95">
        <f>164576.91829952*7.15</f>
        <v>1176724.9658415681</v>
      </c>
      <c r="W367" s="40" t="s">
        <v>78</v>
      </c>
      <c r="X367" s="129" t="s">
        <v>87</v>
      </c>
      <c r="Y367" s="79">
        <v>0.31</v>
      </c>
      <c r="Z367" s="79"/>
      <c r="AA367" s="79"/>
      <c r="AB367" s="80"/>
      <c r="AC367" s="95">
        <f t="shared" si="294"/>
        <v>2479167.776085</v>
      </c>
      <c r="AD367" s="87"/>
      <c r="AE367" s="77">
        <f t="shared" si="295"/>
        <v>6072.7905700000001</v>
      </c>
      <c r="AF367" s="88"/>
    </row>
    <row r="368" spans="2:32" s="43" customFormat="1" hidden="1">
      <c r="B368" s="17" t="s">
        <v>6</v>
      </c>
      <c r="C368" s="40" t="s">
        <v>14</v>
      </c>
      <c r="D368" s="40" t="s">
        <v>85</v>
      </c>
      <c r="E368" s="91" t="s">
        <v>119</v>
      </c>
      <c r="F368" s="40" t="s">
        <v>114</v>
      </c>
      <c r="G368" s="40"/>
      <c r="H368" s="40" t="s">
        <v>52</v>
      </c>
      <c r="I368" s="57">
        <v>2024</v>
      </c>
      <c r="J368" s="57">
        <v>4</v>
      </c>
      <c r="K368" s="29">
        <v>45597</v>
      </c>
      <c r="L368" s="66"/>
      <c r="M368" s="94">
        <f t="shared" si="283"/>
        <v>8.7945000000000009E-2</v>
      </c>
      <c r="N368" s="94">
        <f t="shared" si="284"/>
        <v>0.126555</v>
      </c>
      <c r="O368" s="94">
        <f t="shared" si="285"/>
        <v>3.8610000000000005E-2</v>
      </c>
      <c r="P368" s="68"/>
      <c r="Q368" s="100">
        <v>1</v>
      </c>
      <c r="R368" s="104">
        <f t="shared" si="296"/>
        <v>8.7945000000000009E-2</v>
      </c>
      <c r="S368" s="73">
        <v>8413300</v>
      </c>
      <c r="T368" s="73">
        <f t="shared" si="293"/>
        <v>225078670</v>
      </c>
      <c r="U368" s="95">
        <f t="shared" si="287"/>
        <v>9509940.0757872239</v>
      </c>
      <c r="V368" s="95">
        <f>270489.050365092*7.15</f>
        <v>1933996.7101104078</v>
      </c>
      <c r="W368" s="40" t="s">
        <v>78</v>
      </c>
      <c r="X368" s="129" t="s">
        <v>87</v>
      </c>
      <c r="Y368" s="79">
        <v>0.31</v>
      </c>
      <c r="Z368" s="79"/>
      <c r="AA368" s="79"/>
      <c r="AB368" s="80"/>
      <c r="AC368" s="95">
        <f t="shared" si="294"/>
        <v>1064745.1814999999</v>
      </c>
      <c r="AD368" s="87"/>
      <c r="AE368" s="77">
        <f t="shared" si="295"/>
        <v>2608.123</v>
      </c>
      <c r="AF368" s="88"/>
    </row>
    <row r="369" spans="2:32" s="43" customFormat="1" hidden="1">
      <c r="B369" s="17" t="s">
        <v>6</v>
      </c>
      <c r="C369" s="40" t="s">
        <v>14</v>
      </c>
      <c r="D369" s="40" t="s">
        <v>85</v>
      </c>
      <c r="E369" s="91" t="s">
        <v>119</v>
      </c>
      <c r="F369" s="40" t="s">
        <v>114</v>
      </c>
      <c r="G369" s="40"/>
      <c r="H369" s="40" t="s">
        <v>52</v>
      </c>
      <c r="I369" s="57">
        <v>2024</v>
      </c>
      <c r="J369" s="57">
        <v>3</v>
      </c>
      <c r="K369" s="29">
        <v>45597</v>
      </c>
      <c r="L369" s="66"/>
      <c r="M369" s="94">
        <f t="shared" si="283"/>
        <v>8.7945000000000009E-2</v>
      </c>
      <c r="N369" s="94">
        <f t="shared" si="284"/>
        <v>0.126555</v>
      </c>
      <c r="O369" s="94">
        <f t="shared" si="285"/>
        <v>3.8610000000000005E-2</v>
      </c>
      <c r="P369" s="68"/>
      <c r="Q369" s="100">
        <v>1</v>
      </c>
      <c r="R369" s="104">
        <f t="shared" si="296"/>
        <v>8.7945000000000009E-2</v>
      </c>
      <c r="S369" s="73">
        <v>12744900</v>
      </c>
      <c r="T369" s="73">
        <f t="shared" si="293"/>
        <v>216665370</v>
      </c>
      <c r="U369" s="95">
        <f t="shared" si="287"/>
        <v>9509940.0757872239</v>
      </c>
      <c r="V369" s="95">
        <f>315975.859836813*7.15</f>
        <v>2259227.3978332132</v>
      </c>
      <c r="W369" s="40" t="s">
        <v>78</v>
      </c>
      <c r="X369" s="129" t="s">
        <v>87</v>
      </c>
      <c r="Y369" s="79">
        <v>0.31</v>
      </c>
      <c r="Z369" s="79"/>
      <c r="AA369" s="79"/>
      <c r="AB369" s="80"/>
      <c r="AC369" s="95">
        <f t="shared" si="294"/>
        <v>1612930.8195</v>
      </c>
      <c r="AD369" s="87"/>
      <c r="AE369" s="77">
        <f t="shared" si="295"/>
        <v>3950.9189999999999</v>
      </c>
      <c r="AF369" s="88"/>
    </row>
    <row r="370" spans="2:32" s="43" customFormat="1" hidden="1">
      <c r="B370" s="17" t="s">
        <v>6</v>
      </c>
      <c r="C370" s="40" t="s">
        <v>14</v>
      </c>
      <c r="D370" s="40" t="s">
        <v>85</v>
      </c>
      <c r="E370" s="91" t="s">
        <v>119</v>
      </c>
      <c r="F370" s="40" t="s">
        <v>114</v>
      </c>
      <c r="G370" s="40"/>
      <c r="H370" s="40" t="s">
        <v>52</v>
      </c>
      <c r="I370" s="57">
        <v>2024</v>
      </c>
      <c r="J370" s="57">
        <v>2</v>
      </c>
      <c r="K370" s="29">
        <v>45597</v>
      </c>
      <c r="L370" s="66"/>
      <c r="M370" s="94">
        <f t="shared" si="283"/>
        <v>8.7945000000000009E-2</v>
      </c>
      <c r="N370" s="94">
        <f t="shared" si="284"/>
        <v>0.126555</v>
      </c>
      <c r="O370" s="94">
        <f t="shared" si="285"/>
        <v>3.8610000000000005E-2</v>
      </c>
      <c r="P370" s="68"/>
      <c r="Q370" s="100">
        <v>1</v>
      </c>
      <c r="R370" s="104">
        <f t="shared" si="296"/>
        <v>8.7945000000000009E-2</v>
      </c>
      <c r="S370" s="73">
        <v>11872311</v>
      </c>
      <c r="T370" s="73">
        <f t="shared" si="293"/>
        <v>203920470</v>
      </c>
      <c r="U370" s="95">
        <f t="shared" si="287"/>
        <v>9509940.0757872239</v>
      </c>
      <c r="V370" s="95">
        <f>384881.620719717*7.15</f>
        <v>2751903.5881459769</v>
      </c>
      <c r="W370" s="40" t="s">
        <v>78</v>
      </c>
      <c r="X370" s="129" t="s">
        <v>87</v>
      </c>
      <c r="Y370" s="79">
        <v>0.31</v>
      </c>
      <c r="Z370" s="79"/>
      <c r="AA370" s="79"/>
      <c r="AB370" s="80"/>
      <c r="AC370" s="95">
        <f t="shared" si="294"/>
        <v>1502500.3186049999</v>
      </c>
      <c r="AD370" s="87"/>
      <c r="AE370" s="77">
        <f t="shared" si="295"/>
        <v>3680.4164100000003</v>
      </c>
      <c r="AF370" s="88"/>
    </row>
    <row r="371" spans="2:32" s="43" customFormat="1" hidden="1">
      <c r="B371" s="17" t="s">
        <v>6</v>
      </c>
      <c r="C371" s="40" t="s">
        <v>14</v>
      </c>
      <c r="D371" s="40" t="s">
        <v>85</v>
      </c>
      <c r="E371" s="91" t="s">
        <v>119</v>
      </c>
      <c r="F371" s="40" t="s">
        <v>114</v>
      </c>
      <c r="G371" s="40"/>
      <c r="H371" s="40" t="s">
        <v>52</v>
      </c>
      <c r="I371" s="57">
        <v>2024</v>
      </c>
      <c r="J371" s="57">
        <v>1</v>
      </c>
      <c r="K371" s="29">
        <v>45597</v>
      </c>
      <c r="L371" s="66"/>
      <c r="M371" s="94">
        <f t="shared" si="283"/>
        <v>8.7945000000000009E-2</v>
      </c>
      <c r="N371" s="94">
        <f t="shared" si="284"/>
        <v>0.126555</v>
      </c>
      <c r="O371" s="94">
        <f t="shared" si="285"/>
        <v>3.8610000000000005E-2</v>
      </c>
      <c r="P371" s="68"/>
      <c r="Q371" s="100">
        <v>1</v>
      </c>
      <c r="R371" s="104">
        <f t="shared" si="296"/>
        <v>8.7945000000000009E-2</v>
      </c>
      <c r="S371" s="73">
        <v>12661600</v>
      </c>
      <c r="T371" s="73">
        <f t="shared" si="293"/>
        <v>192048159</v>
      </c>
      <c r="U371" s="95">
        <f t="shared" si="287"/>
        <v>9509940.0757872239</v>
      </c>
      <c r="V371" s="95">
        <f>449069.697746095*7.15</f>
        <v>3210848.3388845795</v>
      </c>
      <c r="W371" s="40" t="s">
        <v>78</v>
      </c>
      <c r="X371" s="129" t="s">
        <v>87</v>
      </c>
      <c r="Y371" s="79">
        <v>0.31</v>
      </c>
      <c r="Z371" s="79"/>
      <c r="AA371" s="79"/>
      <c r="AB371" s="80"/>
      <c r="AC371" s="95">
        <f t="shared" si="294"/>
        <v>1602388.7879999999</v>
      </c>
      <c r="AD371" s="87"/>
      <c r="AE371" s="77">
        <f t="shared" si="295"/>
        <v>3925.096</v>
      </c>
      <c r="AF371" s="88"/>
    </row>
    <row r="372" spans="2:32" s="43" customFormat="1" hidden="1">
      <c r="B372" s="17" t="s">
        <v>6</v>
      </c>
      <c r="C372" s="40" t="s">
        <v>14</v>
      </c>
      <c r="D372" s="40" t="s">
        <v>85</v>
      </c>
      <c r="E372" s="91" t="s">
        <v>119</v>
      </c>
      <c r="F372" s="40" t="s">
        <v>114</v>
      </c>
      <c r="G372" s="40"/>
      <c r="H372" s="40" t="s">
        <v>52</v>
      </c>
      <c r="I372" s="57">
        <v>2023</v>
      </c>
      <c r="J372" s="57">
        <v>12</v>
      </c>
      <c r="K372" s="29">
        <v>45597</v>
      </c>
      <c r="L372" s="66"/>
      <c r="M372" s="94">
        <f t="shared" si="283"/>
        <v>8.7945000000000009E-2</v>
      </c>
      <c r="N372" s="94">
        <f t="shared" si="284"/>
        <v>0.126555</v>
      </c>
      <c r="O372" s="94">
        <f t="shared" si="285"/>
        <v>3.8610000000000005E-2</v>
      </c>
      <c r="P372" s="68"/>
      <c r="Q372" s="100">
        <v>1</v>
      </c>
      <c r="R372" s="104">
        <f t="shared" si="296"/>
        <v>8.7945000000000009E-2</v>
      </c>
      <c r="S372" s="73">
        <v>9783504</v>
      </c>
      <c r="T372" s="73">
        <f t="shared" si="293"/>
        <v>179386559</v>
      </c>
      <c r="U372" s="95">
        <f t="shared" si="287"/>
        <v>9509940.0757872239</v>
      </c>
      <c r="V372" s="95">
        <f>517525.094178784*7.15</f>
        <v>3700304.423378306</v>
      </c>
      <c r="W372" s="40" t="s">
        <v>78</v>
      </c>
      <c r="X372" s="129" t="s">
        <v>87</v>
      </c>
      <c r="Y372" s="79">
        <v>0.31</v>
      </c>
      <c r="Z372" s="79"/>
      <c r="AA372" s="79"/>
      <c r="AB372" s="80"/>
      <c r="AC372" s="95">
        <f t="shared" si="294"/>
        <v>1238151.3487199999</v>
      </c>
      <c r="AD372" s="87"/>
      <c r="AE372" s="77">
        <f t="shared" si="295"/>
        <v>3032.8862399999998</v>
      </c>
      <c r="AF372" s="88"/>
    </row>
    <row r="373" spans="2:32" s="43" customFormat="1" hidden="1">
      <c r="B373" s="17" t="s">
        <v>6</v>
      </c>
      <c r="C373" s="40" t="s">
        <v>14</v>
      </c>
      <c r="D373" s="40" t="s">
        <v>85</v>
      </c>
      <c r="E373" s="91" t="s">
        <v>119</v>
      </c>
      <c r="F373" s="40" t="s">
        <v>114</v>
      </c>
      <c r="G373" s="40"/>
      <c r="H373" s="40" t="s">
        <v>52</v>
      </c>
      <c r="I373" s="57">
        <v>2023</v>
      </c>
      <c r="J373" s="57">
        <v>11</v>
      </c>
      <c r="K373" s="29">
        <v>45597</v>
      </c>
      <c r="L373" s="66"/>
      <c r="M373" s="94">
        <f t="shared" si="283"/>
        <v>8.7945000000000009E-2</v>
      </c>
      <c r="N373" s="94">
        <f t="shared" si="284"/>
        <v>0.126555</v>
      </c>
      <c r="O373" s="94">
        <f t="shared" si="285"/>
        <v>3.8610000000000005E-2</v>
      </c>
      <c r="P373" s="68"/>
      <c r="Q373" s="100">
        <v>1</v>
      </c>
      <c r="R373" s="104">
        <f t="shared" si="296"/>
        <v>8.7945000000000009E-2</v>
      </c>
      <c r="S373" s="73">
        <v>8163400</v>
      </c>
      <c r="T373" s="73">
        <f t="shared" si="293"/>
        <v>169603055</v>
      </c>
      <c r="U373" s="95">
        <f t="shared" si="287"/>
        <v>9509940.0757872239</v>
      </c>
      <c r="V373" s="95">
        <f>570419.960927126*7.15</f>
        <v>4078502.7206289512</v>
      </c>
      <c r="W373" s="40" t="s">
        <v>78</v>
      </c>
      <c r="X373" s="129" t="s">
        <v>87</v>
      </c>
      <c r="Y373" s="79">
        <v>0.31</v>
      </c>
      <c r="Z373" s="79"/>
      <c r="AA373" s="79"/>
      <c r="AB373" s="80"/>
      <c r="AC373" s="95">
        <f t="shared" si="294"/>
        <v>1033119.0870000001</v>
      </c>
      <c r="AD373" s="87"/>
      <c r="AE373" s="77">
        <f t="shared" si="295"/>
        <v>2530.654</v>
      </c>
      <c r="AF373" s="88"/>
    </row>
    <row r="374" spans="2:32" s="43" customFormat="1" hidden="1">
      <c r="B374" s="17" t="s">
        <v>6</v>
      </c>
      <c r="C374" s="40" t="s">
        <v>14</v>
      </c>
      <c r="D374" s="40" t="s">
        <v>85</v>
      </c>
      <c r="E374" s="91" t="s">
        <v>119</v>
      </c>
      <c r="F374" s="40" t="s">
        <v>114</v>
      </c>
      <c r="G374" s="40"/>
      <c r="H374" s="40" t="s">
        <v>52</v>
      </c>
      <c r="I374" s="57">
        <v>2023</v>
      </c>
      <c r="J374" s="57">
        <v>10</v>
      </c>
      <c r="K374" s="29">
        <v>45597</v>
      </c>
      <c r="L374" s="66"/>
      <c r="M374" s="94">
        <f t="shared" si="283"/>
        <v>8.7945000000000009E-2</v>
      </c>
      <c r="N374" s="94">
        <f t="shared" si="284"/>
        <v>0.126555</v>
      </c>
      <c r="O374" s="94">
        <f t="shared" si="285"/>
        <v>3.8610000000000005E-2</v>
      </c>
      <c r="P374" s="68"/>
      <c r="Q374" s="100">
        <v>1</v>
      </c>
      <c r="R374" s="104">
        <f t="shared" si="296"/>
        <v>8.7945000000000009E-2</v>
      </c>
      <c r="S374" s="73">
        <v>5414500</v>
      </c>
      <c r="T374" s="73">
        <f t="shared" si="293"/>
        <v>161439655</v>
      </c>
      <c r="U374" s="95">
        <f t="shared" si="287"/>
        <v>9509940.0757872239</v>
      </c>
      <c r="V374" s="95">
        <f>614555.677048202*7.15</f>
        <v>4394073.0908946451</v>
      </c>
      <c r="W374" s="40" t="s">
        <v>78</v>
      </c>
      <c r="X374" s="129" t="s">
        <v>87</v>
      </c>
      <c r="Y374" s="79">
        <v>0.31</v>
      </c>
      <c r="Z374" s="79"/>
      <c r="AA374" s="79"/>
      <c r="AB374" s="80"/>
      <c r="AC374" s="95">
        <f t="shared" si="294"/>
        <v>685232.04749999999</v>
      </c>
      <c r="AD374" s="87"/>
      <c r="AE374" s="77">
        <f t="shared" si="295"/>
        <v>1678.4949999999999</v>
      </c>
      <c r="AF374" s="88"/>
    </row>
    <row r="375" spans="2:32" s="43" customFormat="1" hidden="1">
      <c r="B375" s="17" t="s">
        <v>6</v>
      </c>
      <c r="C375" s="40" t="s">
        <v>14</v>
      </c>
      <c r="D375" s="40" t="s">
        <v>85</v>
      </c>
      <c r="E375" s="91" t="s">
        <v>119</v>
      </c>
      <c r="F375" s="40" t="s">
        <v>114</v>
      </c>
      <c r="G375" s="40"/>
      <c r="H375" s="40" t="s">
        <v>52</v>
      </c>
      <c r="I375" s="57">
        <v>2023</v>
      </c>
      <c r="J375" s="57">
        <v>9</v>
      </c>
      <c r="K375" s="29">
        <v>45597</v>
      </c>
      <c r="L375" s="66"/>
      <c r="M375" s="94">
        <f t="shared" si="283"/>
        <v>8.7945000000000009E-2</v>
      </c>
      <c r="N375" s="94">
        <f t="shared" si="284"/>
        <v>0.126555</v>
      </c>
      <c r="O375" s="94">
        <f t="shared" si="285"/>
        <v>3.8610000000000005E-2</v>
      </c>
      <c r="P375" s="68"/>
      <c r="Q375" s="100">
        <v>1</v>
      </c>
      <c r="R375" s="104">
        <f t="shared" si="296"/>
        <v>8.7945000000000009E-2</v>
      </c>
      <c r="S375" s="73">
        <v>4708511</v>
      </c>
      <c r="T375" s="73">
        <f t="shared" si="293"/>
        <v>156025155</v>
      </c>
      <c r="U375" s="95">
        <f t="shared" si="287"/>
        <v>9509940.0757872239</v>
      </c>
      <c r="V375" s="95">
        <f>643829.366312181*7.15</f>
        <v>4603379.9691320946</v>
      </c>
      <c r="W375" s="40" t="s">
        <v>78</v>
      </c>
      <c r="X375" s="129" t="s">
        <v>87</v>
      </c>
      <c r="Y375" s="79">
        <v>0.31</v>
      </c>
      <c r="Z375" s="79"/>
      <c r="AA375" s="79"/>
      <c r="AB375" s="80"/>
      <c r="AC375" s="95">
        <f t="shared" si="294"/>
        <v>595885.60960500001</v>
      </c>
      <c r="AD375" s="87"/>
      <c r="AE375" s="77">
        <f t="shared" si="295"/>
        <v>1459.63841</v>
      </c>
      <c r="AF375" s="88"/>
    </row>
    <row r="376" spans="2:32" s="43" customFormat="1" hidden="1">
      <c r="B376" s="17" t="s">
        <v>6</v>
      </c>
      <c r="C376" s="40" t="s">
        <v>14</v>
      </c>
      <c r="D376" s="40" t="s">
        <v>85</v>
      </c>
      <c r="E376" s="91" t="s">
        <v>119</v>
      </c>
      <c r="F376" s="40" t="s">
        <v>114</v>
      </c>
      <c r="G376" s="40"/>
      <c r="H376" s="40" t="s">
        <v>52</v>
      </c>
      <c r="I376" s="57">
        <v>2023</v>
      </c>
      <c r="J376" s="57">
        <v>8</v>
      </c>
      <c r="K376" s="29">
        <v>45597</v>
      </c>
      <c r="L376" s="66"/>
      <c r="M376" s="94">
        <f t="shared" si="283"/>
        <v>8.7945000000000009E-2</v>
      </c>
      <c r="N376" s="94">
        <f t="shared" si="284"/>
        <v>0.126555</v>
      </c>
      <c r="O376" s="94">
        <f t="shared" si="285"/>
        <v>3.8610000000000005E-2</v>
      </c>
      <c r="P376" s="68"/>
      <c r="Q376" s="100">
        <v>1</v>
      </c>
      <c r="R376" s="104">
        <f t="shared" si="296"/>
        <v>8.7945000000000009E-2</v>
      </c>
      <c r="S376" s="73">
        <v>8413300</v>
      </c>
      <c r="T376" s="73">
        <f t="shared" si="293"/>
        <v>151316644</v>
      </c>
      <c r="U376" s="95">
        <f t="shared" si="287"/>
        <v>9509940.0757872239</v>
      </c>
      <c r="V376" s="95">
        <f>669286.100620063*7.15</f>
        <v>4785395.6194334505</v>
      </c>
      <c r="W376" s="40" t="s">
        <v>78</v>
      </c>
      <c r="X376" s="129" t="s">
        <v>87</v>
      </c>
      <c r="Y376" s="79">
        <v>0.31</v>
      </c>
      <c r="Z376" s="79"/>
      <c r="AA376" s="79"/>
      <c r="AB376" s="80"/>
      <c r="AC376" s="95">
        <f t="shared" si="294"/>
        <v>1064745.1814999999</v>
      </c>
      <c r="AD376" s="87"/>
      <c r="AE376" s="77">
        <f t="shared" si="295"/>
        <v>2608.123</v>
      </c>
      <c r="AF376" s="88"/>
    </row>
    <row r="377" spans="2:32" s="43" customFormat="1" hidden="1">
      <c r="B377" s="17" t="s">
        <v>6</v>
      </c>
      <c r="C377" s="40" t="s">
        <v>14</v>
      </c>
      <c r="D377" s="40" t="s">
        <v>85</v>
      </c>
      <c r="E377" s="91" t="s">
        <v>119</v>
      </c>
      <c r="F377" s="40" t="s">
        <v>114</v>
      </c>
      <c r="G377" s="40"/>
      <c r="H377" s="40" t="s">
        <v>52</v>
      </c>
      <c r="I377" s="57">
        <v>2023</v>
      </c>
      <c r="J377" s="57">
        <v>7</v>
      </c>
      <c r="K377" s="29">
        <v>45597</v>
      </c>
      <c r="L377" s="66"/>
      <c r="M377" s="94">
        <f t="shared" si="283"/>
        <v>8.7945000000000009E-2</v>
      </c>
      <c r="N377" s="94">
        <f t="shared" si="284"/>
        <v>0.126555</v>
      </c>
      <c r="O377" s="94">
        <f t="shared" si="285"/>
        <v>3.8610000000000005E-2</v>
      </c>
      <c r="P377" s="68"/>
      <c r="Q377" s="100">
        <v>1</v>
      </c>
      <c r="R377" s="104">
        <f t="shared" si="296"/>
        <v>8.7945000000000009E-2</v>
      </c>
      <c r="S377" s="73">
        <v>9720000</v>
      </c>
      <c r="T377" s="73">
        <f t="shared" si="293"/>
        <v>142903344</v>
      </c>
      <c r="U377" s="95">
        <f t="shared" si="287"/>
        <v>9509940.0757872239</v>
      </c>
      <c r="V377" s="95">
        <f>714772.910091784*7.15</f>
        <v>5110626.3071562555</v>
      </c>
      <c r="W377" s="40" t="s">
        <v>78</v>
      </c>
      <c r="X377" s="129" t="s">
        <v>87</v>
      </c>
      <c r="Y377" s="79">
        <v>0.31</v>
      </c>
      <c r="Z377" s="79"/>
      <c r="AA377" s="79"/>
      <c r="AB377" s="80"/>
      <c r="AC377" s="95">
        <f t="shared" si="294"/>
        <v>1230114.6000000001</v>
      </c>
      <c r="AD377" s="87"/>
      <c r="AE377" s="77">
        <f t="shared" si="295"/>
        <v>3013.2</v>
      </c>
      <c r="AF377" s="88"/>
    </row>
    <row r="378" spans="2:32" s="43" customFormat="1" hidden="1">
      <c r="B378" s="17" t="s">
        <v>6</v>
      </c>
      <c r="C378" s="40" t="s">
        <v>14</v>
      </c>
      <c r="D378" s="40" t="s">
        <v>85</v>
      </c>
      <c r="E378" s="91" t="s">
        <v>119</v>
      </c>
      <c r="F378" s="40" t="s">
        <v>114</v>
      </c>
      <c r="G378" s="40"/>
      <c r="H378" s="40" t="s">
        <v>52</v>
      </c>
      <c r="I378" s="57">
        <v>2023</v>
      </c>
      <c r="J378" s="57">
        <v>6</v>
      </c>
      <c r="K378" s="29">
        <v>45597</v>
      </c>
      <c r="L378" s="66"/>
      <c r="M378" s="94">
        <f t="shared" si="283"/>
        <v>8.7945000000000009E-2</v>
      </c>
      <c r="N378" s="94">
        <f t="shared" si="284"/>
        <v>0.126555</v>
      </c>
      <c r="O378" s="94">
        <f t="shared" si="285"/>
        <v>3.8610000000000005E-2</v>
      </c>
      <c r="P378" s="68"/>
      <c r="Q378" s="100">
        <v>1</v>
      </c>
      <c r="R378" s="104">
        <f t="shared" si="296"/>
        <v>8.7945000000000009E-2</v>
      </c>
      <c r="S378" s="73">
        <v>12359523</v>
      </c>
      <c r="T378" s="73">
        <f t="shared" si="293"/>
        <v>133183344</v>
      </c>
      <c r="U378" s="95">
        <f t="shared" si="287"/>
        <v>9509940.0757872239</v>
      </c>
      <c r="V378" s="95">
        <f>767324.440176903*7.15</f>
        <v>5486369.7472648574</v>
      </c>
      <c r="W378" s="40" t="s">
        <v>78</v>
      </c>
      <c r="X378" s="129" t="s">
        <v>87</v>
      </c>
      <c r="Y378" s="79">
        <v>0.31</v>
      </c>
      <c r="Z378" s="79"/>
      <c r="AA378" s="79"/>
      <c r="AB378" s="80"/>
      <c r="AC378" s="95">
        <f t="shared" si="294"/>
        <v>1564159.4332650001</v>
      </c>
      <c r="AD378" s="87"/>
      <c r="AE378" s="77">
        <f t="shared" si="295"/>
        <v>3831.4521299999997</v>
      </c>
      <c r="AF378" s="88"/>
    </row>
    <row r="379" spans="2:32" s="43" customFormat="1" hidden="1">
      <c r="B379" s="17" t="s">
        <v>6</v>
      </c>
      <c r="C379" s="40" t="s">
        <v>14</v>
      </c>
      <c r="D379" s="40" t="s">
        <v>85</v>
      </c>
      <c r="E379" s="91" t="s">
        <v>119</v>
      </c>
      <c r="F379" s="40" t="s">
        <v>114</v>
      </c>
      <c r="G379" s="40"/>
      <c r="H379" s="40" t="s">
        <v>52</v>
      </c>
      <c r="I379" s="57">
        <v>2023</v>
      </c>
      <c r="J379" s="57">
        <v>5</v>
      </c>
      <c r="K379" s="29">
        <v>45597</v>
      </c>
      <c r="L379" s="66"/>
      <c r="M379" s="94">
        <f t="shared" si="283"/>
        <v>8.7945000000000009E-2</v>
      </c>
      <c r="N379" s="94">
        <f t="shared" si="284"/>
        <v>0.126555</v>
      </c>
      <c r="O379" s="94">
        <f t="shared" si="285"/>
        <v>3.8610000000000005E-2</v>
      </c>
      <c r="P379" s="68"/>
      <c r="Q379" s="100">
        <v>1</v>
      </c>
      <c r="R379" s="104">
        <f t="shared" si="296"/>
        <v>8.7945000000000009E-2</v>
      </c>
      <c r="S379" s="73">
        <v>9023523</v>
      </c>
      <c r="T379" s="73">
        <f t="shared" si="293"/>
        <v>120823821</v>
      </c>
      <c r="U379" s="95">
        <f t="shared" si="287"/>
        <v>9509940.0757872239</v>
      </c>
      <c r="V379" s="95">
        <f>834146.646429189*7.15</f>
        <v>5964148.5219687019</v>
      </c>
      <c r="W379" s="40" t="s">
        <v>78</v>
      </c>
      <c r="X379" s="129" t="s">
        <v>87</v>
      </c>
      <c r="Y379" s="79">
        <v>0.31</v>
      </c>
      <c r="Z379" s="79"/>
      <c r="AA379" s="79"/>
      <c r="AB379" s="80"/>
      <c r="AC379" s="95">
        <f t="shared" si="294"/>
        <v>1141971.9532649999</v>
      </c>
      <c r="AD379" s="87"/>
      <c r="AE379" s="77">
        <f t="shared" si="295"/>
        <v>2797.2921299999998</v>
      </c>
      <c r="AF379" s="88"/>
    </row>
    <row r="380" spans="2:32" s="43" customFormat="1" hidden="1">
      <c r="B380" s="17" t="s">
        <v>6</v>
      </c>
      <c r="C380" s="40" t="s">
        <v>14</v>
      </c>
      <c r="D380" s="40" t="s">
        <v>85</v>
      </c>
      <c r="E380" s="91" t="s">
        <v>119</v>
      </c>
      <c r="F380" s="40" t="s">
        <v>114</v>
      </c>
      <c r="G380" s="40"/>
      <c r="H380" s="40" t="s">
        <v>52</v>
      </c>
      <c r="I380" s="57">
        <v>2023</v>
      </c>
      <c r="J380" s="57">
        <v>4</v>
      </c>
      <c r="K380" s="29">
        <v>45597</v>
      </c>
      <c r="L380" s="66"/>
      <c r="M380" s="94">
        <f t="shared" si="283"/>
        <v>8.7945000000000009E-2</v>
      </c>
      <c r="N380" s="94">
        <f t="shared" si="284"/>
        <v>0.126555</v>
      </c>
      <c r="O380" s="94">
        <f t="shared" si="285"/>
        <v>3.8610000000000005E-2</v>
      </c>
      <c r="P380" s="68"/>
      <c r="Q380" s="100">
        <v>1</v>
      </c>
      <c r="R380" s="104">
        <f t="shared" si="296"/>
        <v>8.7945000000000009E-2</v>
      </c>
      <c r="S380" s="73">
        <v>14505252</v>
      </c>
      <c r="T380" s="73">
        <f t="shared" si="293"/>
        <v>111800298</v>
      </c>
      <c r="U380" s="95">
        <f t="shared" si="287"/>
        <v>9509940.0757872239</v>
      </c>
      <c r="V380" s="95">
        <f>882932.648528805*7.15</f>
        <v>6312968.4369809562</v>
      </c>
      <c r="W380" s="40" t="s">
        <v>78</v>
      </c>
      <c r="X380" s="129" t="s">
        <v>87</v>
      </c>
      <c r="Y380" s="79">
        <v>0.31</v>
      </c>
      <c r="Z380" s="79"/>
      <c r="AA380" s="79"/>
      <c r="AB380" s="80"/>
      <c r="AC380" s="95">
        <f t="shared" si="294"/>
        <v>1835712.16686</v>
      </c>
      <c r="AD380" s="87"/>
      <c r="AE380" s="77">
        <f t="shared" si="295"/>
        <v>4496.6281200000003</v>
      </c>
      <c r="AF380" s="88"/>
    </row>
    <row r="381" spans="2:32" s="43" customFormat="1" hidden="1">
      <c r="B381" s="17" t="s">
        <v>6</v>
      </c>
      <c r="C381" s="40" t="s">
        <v>14</v>
      </c>
      <c r="D381" s="40" t="s">
        <v>85</v>
      </c>
      <c r="E381" s="91" t="s">
        <v>119</v>
      </c>
      <c r="F381" s="40" t="s">
        <v>114</v>
      </c>
      <c r="G381" s="40"/>
      <c r="H381" s="40" t="s">
        <v>52</v>
      </c>
      <c r="I381" s="57">
        <v>2023</v>
      </c>
      <c r="J381" s="57">
        <v>3</v>
      </c>
      <c r="K381" s="29">
        <v>45597</v>
      </c>
      <c r="L381" s="66"/>
      <c r="M381" s="94">
        <f t="shared" si="283"/>
        <v>8.7945000000000009E-2</v>
      </c>
      <c r="N381" s="94">
        <f t="shared" si="284"/>
        <v>0.126555</v>
      </c>
      <c r="O381" s="94">
        <f t="shared" si="285"/>
        <v>3.8610000000000005E-2</v>
      </c>
      <c r="P381" s="68"/>
      <c r="Q381" s="100">
        <v>1</v>
      </c>
      <c r="R381" s="104">
        <f t="shared" si="296"/>
        <v>8.7945000000000009E-2</v>
      </c>
      <c r="S381" s="73">
        <v>13616000</v>
      </c>
      <c r="T381" s="73">
        <f t="shared" si="293"/>
        <v>97295046</v>
      </c>
      <c r="U381" s="95">
        <f t="shared" si="287"/>
        <v>9509940.0757872239</v>
      </c>
      <c r="V381" s="95">
        <f>961355.815902285*7.15</f>
        <v>6873694.0837013386</v>
      </c>
      <c r="W381" s="40" t="s">
        <v>78</v>
      </c>
      <c r="X381" s="129" t="s">
        <v>87</v>
      </c>
      <c r="Y381" s="79">
        <v>0.31</v>
      </c>
      <c r="Z381" s="79"/>
      <c r="AA381" s="79"/>
      <c r="AB381" s="80"/>
      <c r="AC381" s="95">
        <f t="shared" si="294"/>
        <v>1723172.8800000001</v>
      </c>
      <c r="AD381" s="87"/>
      <c r="AE381" s="77">
        <f t="shared" si="295"/>
        <v>4220.96</v>
      </c>
      <c r="AF381" s="88"/>
    </row>
    <row r="382" spans="2:32" s="43" customFormat="1" hidden="1">
      <c r="B382" s="17" t="s">
        <v>6</v>
      </c>
      <c r="C382" s="40" t="s">
        <v>14</v>
      </c>
      <c r="D382" s="40" t="s">
        <v>85</v>
      </c>
      <c r="E382" s="91" t="s">
        <v>119</v>
      </c>
      <c r="F382" s="40" t="s">
        <v>114</v>
      </c>
      <c r="G382" s="40"/>
      <c r="H382" s="40" t="s">
        <v>52</v>
      </c>
      <c r="I382" s="57">
        <v>2023</v>
      </c>
      <c r="J382" s="57">
        <v>2</v>
      </c>
      <c r="K382" s="29">
        <v>45597</v>
      </c>
      <c r="L382" s="66"/>
      <c r="M382" s="94">
        <f t="shared" si="283"/>
        <v>8.7945000000000009E-2</v>
      </c>
      <c r="N382" s="94">
        <f t="shared" si="284"/>
        <v>0.126555</v>
      </c>
      <c r="O382" s="94">
        <f t="shared" si="285"/>
        <v>3.8610000000000005E-2</v>
      </c>
      <c r="P382" s="68"/>
      <c r="Q382" s="100">
        <v>1</v>
      </c>
      <c r="R382" s="104">
        <f t="shared" si="296"/>
        <v>8.7945000000000009E-2</v>
      </c>
      <c r="S382" s="73">
        <v>13223523</v>
      </c>
      <c r="T382" s="73">
        <f t="shared" si="293"/>
        <v>83679046</v>
      </c>
      <c r="U382" s="95">
        <f t="shared" si="287"/>
        <v>9509940.0757872239</v>
      </c>
      <c r="V382" s="95">
        <f>1034971.21030959*7.15</f>
        <v>7400044.153713569</v>
      </c>
      <c r="W382" s="40" t="s">
        <v>78</v>
      </c>
      <c r="X382" s="129" t="s">
        <v>87</v>
      </c>
      <c r="Y382" s="79">
        <v>0.31</v>
      </c>
      <c r="Z382" s="79"/>
      <c r="AA382" s="79"/>
      <c r="AB382" s="80"/>
      <c r="AC382" s="95">
        <f t="shared" si="294"/>
        <v>1673502.9532649999</v>
      </c>
      <c r="AD382" s="87"/>
      <c r="AE382" s="77">
        <f t="shared" si="295"/>
        <v>4099.2921299999998</v>
      </c>
      <c r="AF382" s="88"/>
    </row>
    <row r="383" spans="2:32" s="43" customFormat="1" hidden="1">
      <c r="B383" s="17" t="s">
        <v>6</v>
      </c>
      <c r="C383" s="40" t="s">
        <v>14</v>
      </c>
      <c r="D383" s="40" t="s">
        <v>85</v>
      </c>
      <c r="E383" s="91" t="s">
        <v>119</v>
      </c>
      <c r="F383" s="40" t="s">
        <v>114</v>
      </c>
      <c r="G383" s="40"/>
      <c r="H383" s="40" t="s">
        <v>52</v>
      </c>
      <c r="I383" s="57">
        <v>2023</v>
      </c>
      <c r="J383" s="57">
        <v>1</v>
      </c>
      <c r="K383" s="29">
        <v>45597</v>
      </c>
      <c r="L383" s="66"/>
      <c r="M383" s="94">
        <f t="shared" si="283"/>
        <v>8.7945000000000009E-2</v>
      </c>
      <c r="N383" s="94">
        <f t="shared" si="284"/>
        <v>0.126555</v>
      </c>
      <c r="O383" s="94">
        <f t="shared" si="285"/>
        <v>3.8610000000000005E-2</v>
      </c>
      <c r="P383" s="68"/>
      <c r="Q383" s="100">
        <v>1</v>
      </c>
      <c r="R383" s="104">
        <f t="shared" si="296"/>
        <v>8.7945000000000009E-2</v>
      </c>
      <c r="S383" s="73">
        <v>14399523</v>
      </c>
      <c r="T383" s="73">
        <v>70455523</v>
      </c>
      <c r="U383" s="95">
        <f t="shared" si="287"/>
        <v>9509940.0757872239</v>
      </c>
      <c r="V383" s="95">
        <f>1106464.66368055*7.15</f>
        <v>7911222.3453159323</v>
      </c>
      <c r="W383" s="40" t="s">
        <v>78</v>
      </c>
      <c r="X383" s="129" t="s">
        <v>87</v>
      </c>
      <c r="Y383" s="79">
        <v>0.31</v>
      </c>
      <c r="Z383" s="79"/>
      <c r="AA383" s="79"/>
      <c r="AB383" s="80"/>
      <c r="AC383" s="95">
        <f t="shared" si="294"/>
        <v>1822331.6332650001</v>
      </c>
      <c r="AD383" s="87"/>
      <c r="AE383" s="77">
        <f t="shared" si="295"/>
        <v>4463.8521300000002</v>
      </c>
      <c r="AF383" s="88"/>
    </row>
    <row r="384" spans="2:32" s="43" customFormat="1" hidden="1">
      <c r="B384" s="17" t="s">
        <v>6</v>
      </c>
      <c r="C384" s="40" t="s">
        <v>14</v>
      </c>
      <c r="D384" s="40" t="s">
        <v>112</v>
      </c>
      <c r="E384" s="40" t="s">
        <v>113</v>
      </c>
      <c r="F384" s="40" t="s">
        <v>114</v>
      </c>
      <c r="G384" s="40"/>
      <c r="H384" s="40" t="s">
        <v>52</v>
      </c>
      <c r="I384" s="40">
        <v>2024</v>
      </c>
      <c r="J384" s="57">
        <v>10</v>
      </c>
      <c r="K384" s="89">
        <v>45610</v>
      </c>
      <c r="L384" s="66"/>
      <c r="M384" s="94">
        <f>0.0372*7.15</f>
        <v>0.26597999999999999</v>
      </c>
      <c r="N384" s="94">
        <f>0.043*7.15</f>
        <v>0.30745</v>
      </c>
      <c r="O384" s="94">
        <f>0.0059*7.15</f>
        <v>4.2185E-2</v>
      </c>
      <c r="P384" s="68">
        <f t="shared" ref="P384:P422" si="297">L384*O384</f>
        <v>0</v>
      </c>
      <c r="Q384" s="100"/>
      <c r="R384" s="104">
        <f t="shared" si="296"/>
        <v>0</v>
      </c>
      <c r="S384" s="77"/>
      <c r="T384" s="77"/>
      <c r="U384" s="95">
        <f>1216800*7.15</f>
        <v>8700120</v>
      </c>
      <c r="V384" s="95">
        <f t="shared" ref="V384:V406" si="298">U384-O384*T384</f>
        <v>8700120</v>
      </c>
      <c r="W384" s="40" t="s">
        <v>78</v>
      </c>
      <c r="X384" s="129" t="s">
        <v>87</v>
      </c>
      <c r="Y384" s="79">
        <v>2.09</v>
      </c>
      <c r="Z384" s="79"/>
      <c r="AA384" s="79"/>
      <c r="AB384" s="80"/>
      <c r="AC384" s="95">
        <f t="shared" ref="AC384:AC407" si="299">N384*S384</f>
        <v>0</v>
      </c>
      <c r="AD384" s="83"/>
      <c r="AE384" s="77">
        <f t="shared" ref="AE384:AE406" si="300">S384*Y384/1000</f>
        <v>0</v>
      </c>
      <c r="AF384" s="40"/>
    </row>
    <row r="385" spans="2:32" s="43" customFormat="1" hidden="1">
      <c r="B385" s="17" t="s">
        <v>6</v>
      </c>
      <c r="C385" s="40" t="s">
        <v>14</v>
      </c>
      <c r="D385" s="40" t="s">
        <v>115</v>
      </c>
      <c r="E385" s="40" t="s">
        <v>116</v>
      </c>
      <c r="F385" s="40" t="s">
        <v>114</v>
      </c>
      <c r="G385" s="40"/>
      <c r="H385" s="40" t="s">
        <v>52</v>
      </c>
      <c r="I385" s="40">
        <v>2024</v>
      </c>
      <c r="J385" s="57">
        <v>10</v>
      </c>
      <c r="K385" s="89">
        <v>45610</v>
      </c>
      <c r="L385" s="66"/>
      <c r="M385" s="94">
        <f>0.0111*7.15</f>
        <v>7.9365000000000005E-2</v>
      </c>
      <c r="N385" s="94">
        <f>0.0147*7.15</f>
        <v>0.105105</v>
      </c>
      <c r="O385" s="94">
        <f>0.0036*7.15</f>
        <v>2.5739999999999999E-2</v>
      </c>
      <c r="P385" s="68">
        <f t="shared" si="297"/>
        <v>0</v>
      </c>
      <c r="Q385" s="100"/>
      <c r="R385" s="104">
        <f t="shared" si="296"/>
        <v>0</v>
      </c>
      <c r="S385" s="77"/>
      <c r="T385" s="77"/>
      <c r="U385" s="95">
        <f>579520*7.15</f>
        <v>4143568</v>
      </c>
      <c r="V385" s="95">
        <f t="shared" si="298"/>
        <v>4143568</v>
      </c>
      <c r="W385" s="40" t="s">
        <v>78</v>
      </c>
      <c r="X385" s="129" t="s">
        <v>87</v>
      </c>
      <c r="Y385" s="79">
        <v>0.5</v>
      </c>
      <c r="Z385" s="79"/>
      <c r="AA385" s="79"/>
      <c r="AB385" s="80"/>
      <c r="AC385" s="95">
        <f t="shared" si="299"/>
        <v>0</v>
      </c>
      <c r="AD385" s="83"/>
      <c r="AE385" s="77">
        <f t="shared" si="300"/>
        <v>0</v>
      </c>
      <c r="AF385" s="40"/>
    </row>
    <row r="386" spans="2:32" s="43" customFormat="1" hidden="1">
      <c r="B386" s="17" t="s">
        <v>6</v>
      </c>
      <c r="C386" s="40" t="s">
        <v>14</v>
      </c>
      <c r="D386" s="40" t="s">
        <v>117</v>
      </c>
      <c r="E386" s="40" t="s">
        <v>118</v>
      </c>
      <c r="F386" s="40" t="s">
        <v>114</v>
      </c>
      <c r="G386" s="40"/>
      <c r="H386" s="40" t="s">
        <v>52</v>
      </c>
      <c r="I386" s="40">
        <v>2024</v>
      </c>
      <c r="J386" s="57">
        <v>10</v>
      </c>
      <c r="K386" s="89">
        <v>45610</v>
      </c>
      <c r="L386" s="66"/>
      <c r="M386" s="94">
        <f>0.0141*7.15</f>
        <v>0.100815</v>
      </c>
      <c r="N386" s="94">
        <f>0.0169*7.15</f>
        <v>0.120835</v>
      </c>
      <c r="O386" s="94">
        <f>0.0028*7.15</f>
        <v>2.002E-2</v>
      </c>
      <c r="P386" s="68">
        <f t="shared" si="297"/>
        <v>0</v>
      </c>
      <c r="Q386" s="100"/>
      <c r="R386" s="104">
        <f t="shared" si="296"/>
        <v>0</v>
      </c>
      <c r="S386" s="77"/>
      <c r="T386" s="77"/>
      <c r="U386" s="95">
        <f>540306*7.15</f>
        <v>3863187.9000000004</v>
      </c>
      <c r="V386" s="95">
        <f t="shared" si="298"/>
        <v>3863187.9000000004</v>
      </c>
      <c r="W386" s="40" t="s">
        <v>70</v>
      </c>
      <c r="X386" s="129" t="s">
        <v>71</v>
      </c>
      <c r="Y386" s="79">
        <v>0.85</v>
      </c>
      <c r="Z386" s="79"/>
      <c r="AA386" s="79"/>
      <c r="AB386" s="80"/>
      <c r="AC386" s="95">
        <f t="shared" si="299"/>
        <v>0</v>
      </c>
      <c r="AD386" s="83"/>
      <c r="AE386" s="77">
        <f t="shared" si="300"/>
        <v>0</v>
      </c>
      <c r="AF386" s="40"/>
    </row>
    <row r="387" spans="2:32" s="43" customFormat="1" hidden="1">
      <c r="B387" s="17" t="s">
        <v>6</v>
      </c>
      <c r="C387" s="40" t="s">
        <v>14</v>
      </c>
      <c r="D387" s="40" t="s">
        <v>85</v>
      </c>
      <c r="E387" s="40" t="s">
        <v>119</v>
      </c>
      <c r="F387" s="40" t="s">
        <v>114</v>
      </c>
      <c r="G387" s="40"/>
      <c r="H387" s="40" t="s">
        <v>52</v>
      </c>
      <c r="I387" s="40">
        <v>2024</v>
      </c>
      <c r="J387" s="57">
        <v>10</v>
      </c>
      <c r="K387" s="89">
        <v>45610</v>
      </c>
      <c r="L387" s="66"/>
      <c r="M387" s="94">
        <f>0.0115*7.15</f>
        <v>8.2225000000000006E-2</v>
      </c>
      <c r="N387" s="94">
        <f>0.0151*7.15</f>
        <v>0.10796500000000001</v>
      </c>
      <c r="O387" s="94">
        <f>0.0036*7.15</f>
        <v>2.5739999999999999E-2</v>
      </c>
      <c r="P387" s="68">
        <f t="shared" si="297"/>
        <v>0</v>
      </c>
      <c r="Q387" s="100"/>
      <c r="R387" s="104">
        <f t="shared" si="296"/>
        <v>0</v>
      </c>
      <c r="S387" s="77"/>
      <c r="T387" s="77"/>
      <c r="U387" s="95">
        <f>579520*7.15</f>
        <v>4143568</v>
      </c>
      <c r="V387" s="95">
        <f t="shared" si="298"/>
        <v>4143568</v>
      </c>
      <c r="W387" s="40" t="s">
        <v>78</v>
      </c>
      <c r="X387" s="129" t="s">
        <v>87</v>
      </c>
      <c r="Y387" s="79">
        <v>0.31</v>
      </c>
      <c r="Z387" s="79"/>
      <c r="AA387" s="79"/>
      <c r="AB387" s="80"/>
      <c r="AC387" s="95">
        <f t="shared" si="299"/>
        <v>0</v>
      </c>
      <c r="AD387" s="83"/>
      <c r="AE387" s="77">
        <f t="shared" si="300"/>
        <v>0</v>
      </c>
      <c r="AF387" s="40"/>
    </row>
    <row r="388" spans="2:32" s="43" customFormat="1" hidden="1">
      <c r="B388" s="17"/>
      <c r="C388" s="40" t="e">
        <f>VLOOKUP(B388,[1]Sheet1!$A:$B,2,0)</f>
        <v>#N/A</v>
      </c>
      <c r="D388" s="40"/>
      <c r="E388" s="40"/>
      <c r="F388" s="40"/>
      <c r="G388" s="40"/>
      <c r="H388" s="40"/>
      <c r="I388" s="40"/>
      <c r="J388" s="57"/>
      <c r="K388" s="89"/>
      <c r="L388" s="66"/>
      <c r="M388" s="68"/>
      <c r="N388" s="68"/>
      <c r="O388" s="68"/>
      <c r="P388" s="68">
        <f t="shared" si="297"/>
        <v>0</v>
      </c>
      <c r="Q388" s="100"/>
      <c r="R388" s="104">
        <f t="shared" si="296"/>
        <v>0</v>
      </c>
      <c r="S388" s="77"/>
      <c r="T388" s="77"/>
      <c r="U388" s="78"/>
      <c r="V388" s="78">
        <f t="shared" si="298"/>
        <v>0</v>
      </c>
      <c r="W388" s="40"/>
      <c r="X388" s="129"/>
      <c r="Y388" s="79"/>
      <c r="Z388" s="79"/>
      <c r="AA388" s="79"/>
      <c r="AB388" s="80"/>
      <c r="AC388" s="78">
        <f t="shared" si="299"/>
        <v>0</v>
      </c>
      <c r="AD388" s="83"/>
      <c r="AE388" s="77">
        <f t="shared" si="300"/>
        <v>0</v>
      </c>
      <c r="AF388" s="40"/>
    </row>
    <row r="389" spans="2:32" s="43" customFormat="1" hidden="1">
      <c r="B389" s="17"/>
      <c r="C389" s="40" t="e">
        <f>VLOOKUP(B389,[1]Sheet1!$A:$B,2,0)</f>
        <v>#N/A</v>
      </c>
      <c r="D389" s="40"/>
      <c r="E389" s="40"/>
      <c r="F389" s="40"/>
      <c r="G389" s="40"/>
      <c r="H389" s="40"/>
      <c r="I389" s="40"/>
      <c r="J389" s="57"/>
      <c r="K389" s="89"/>
      <c r="L389" s="66"/>
      <c r="M389" s="68"/>
      <c r="N389" s="68"/>
      <c r="O389" s="68"/>
      <c r="P389" s="68">
        <f t="shared" si="297"/>
        <v>0</v>
      </c>
      <c r="Q389" s="100"/>
      <c r="R389" s="104">
        <f t="shared" si="296"/>
        <v>0</v>
      </c>
      <c r="S389" s="77"/>
      <c r="T389" s="77"/>
      <c r="U389" s="78"/>
      <c r="V389" s="78">
        <f t="shared" si="298"/>
        <v>0</v>
      </c>
      <c r="W389" s="40"/>
      <c r="X389" s="129"/>
      <c r="Y389" s="79"/>
      <c r="Z389" s="79"/>
      <c r="AA389" s="79"/>
      <c r="AB389" s="80"/>
      <c r="AC389" s="78">
        <f t="shared" si="299"/>
        <v>0</v>
      </c>
      <c r="AD389" s="83"/>
      <c r="AE389" s="77">
        <f t="shared" si="300"/>
        <v>0</v>
      </c>
      <c r="AF389" s="40"/>
    </row>
    <row r="390" spans="2:32" s="43" customFormat="1" hidden="1">
      <c r="B390" s="17"/>
      <c r="C390" s="40" t="e">
        <f>VLOOKUP(B390,[1]Sheet1!$A:$B,2,0)</f>
        <v>#N/A</v>
      </c>
      <c r="D390" s="40"/>
      <c r="E390" s="40"/>
      <c r="F390" s="40"/>
      <c r="G390" s="40"/>
      <c r="H390" s="40"/>
      <c r="I390" s="40"/>
      <c r="J390" s="57"/>
      <c r="K390" s="89"/>
      <c r="L390" s="66"/>
      <c r="M390" s="68"/>
      <c r="N390" s="68"/>
      <c r="O390" s="68"/>
      <c r="P390" s="68">
        <f t="shared" si="297"/>
        <v>0</v>
      </c>
      <c r="Q390" s="100"/>
      <c r="R390" s="104">
        <f t="shared" si="296"/>
        <v>0</v>
      </c>
      <c r="S390" s="77"/>
      <c r="T390" s="77"/>
      <c r="U390" s="78"/>
      <c r="V390" s="78">
        <f t="shared" si="298"/>
        <v>0</v>
      </c>
      <c r="W390" s="40"/>
      <c r="X390" s="129"/>
      <c r="Y390" s="79"/>
      <c r="Z390" s="79"/>
      <c r="AA390" s="79"/>
      <c r="AB390" s="80"/>
      <c r="AC390" s="78">
        <f t="shared" si="299"/>
        <v>0</v>
      </c>
      <c r="AD390" s="83"/>
      <c r="AE390" s="77">
        <f t="shared" si="300"/>
        <v>0</v>
      </c>
      <c r="AF390" s="40"/>
    </row>
    <row r="391" spans="2:32" s="43" customFormat="1" hidden="1">
      <c r="B391" s="17"/>
      <c r="C391" s="40" t="e">
        <f>VLOOKUP(B391,[1]Sheet1!$A:$B,2,0)</f>
        <v>#N/A</v>
      </c>
      <c r="D391" s="40"/>
      <c r="E391" s="40"/>
      <c r="F391" s="40"/>
      <c r="G391" s="40"/>
      <c r="H391" s="40"/>
      <c r="I391" s="40"/>
      <c r="J391" s="57"/>
      <c r="K391" s="89"/>
      <c r="L391" s="66"/>
      <c r="M391" s="68"/>
      <c r="N391" s="68"/>
      <c r="O391" s="68"/>
      <c r="P391" s="68">
        <f t="shared" si="297"/>
        <v>0</v>
      </c>
      <c r="Q391" s="100"/>
      <c r="R391" s="104">
        <f t="shared" si="296"/>
        <v>0</v>
      </c>
      <c r="S391" s="77"/>
      <c r="T391" s="77"/>
      <c r="U391" s="78"/>
      <c r="V391" s="78">
        <f t="shared" si="298"/>
        <v>0</v>
      </c>
      <c r="W391" s="40"/>
      <c r="X391" s="129"/>
      <c r="Y391" s="79"/>
      <c r="Z391" s="79"/>
      <c r="AA391" s="79"/>
      <c r="AB391" s="80"/>
      <c r="AC391" s="78">
        <f t="shared" si="299"/>
        <v>0</v>
      </c>
      <c r="AD391" s="83"/>
      <c r="AE391" s="77">
        <f t="shared" si="300"/>
        <v>0</v>
      </c>
      <c r="AF391" s="40"/>
    </row>
    <row r="392" spans="2:32" s="43" customFormat="1" hidden="1">
      <c r="B392" s="17"/>
      <c r="C392" s="40" t="e">
        <f>VLOOKUP(B392,[1]Sheet1!$A:$B,2,0)</f>
        <v>#N/A</v>
      </c>
      <c r="D392" s="40"/>
      <c r="E392" s="40"/>
      <c r="F392" s="40"/>
      <c r="G392" s="40"/>
      <c r="H392" s="40"/>
      <c r="I392" s="40"/>
      <c r="J392" s="57"/>
      <c r="K392" s="89"/>
      <c r="L392" s="66"/>
      <c r="M392" s="68"/>
      <c r="N392" s="68"/>
      <c r="O392" s="68"/>
      <c r="P392" s="68">
        <f t="shared" si="297"/>
        <v>0</v>
      </c>
      <c r="Q392" s="100"/>
      <c r="R392" s="104">
        <f t="shared" si="296"/>
        <v>0</v>
      </c>
      <c r="S392" s="77"/>
      <c r="T392" s="77"/>
      <c r="U392" s="78"/>
      <c r="V392" s="78">
        <f t="shared" si="298"/>
        <v>0</v>
      </c>
      <c r="W392" s="40"/>
      <c r="X392" s="129"/>
      <c r="Y392" s="79"/>
      <c r="Z392" s="79"/>
      <c r="AA392" s="79"/>
      <c r="AB392" s="80"/>
      <c r="AC392" s="78">
        <f t="shared" si="299"/>
        <v>0</v>
      </c>
      <c r="AD392" s="83"/>
      <c r="AE392" s="77">
        <f t="shared" si="300"/>
        <v>0</v>
      </c>
      <c r="AF392" s="40"/>
    </row>
    <row r="393" spans="2:32" s="43" customFormat="1" hidden="1">
      <c r="B393" s="17"/>
      <c r="C393" s="40" t="e">
        <f>VLOOKUP(B393,[1]Sheet1!$A:$B,2,0)</f>
        <v>#N/A</v>
      </c>
      <c r="D393" s="40"/>
      <c r="E393" s="40"/>
      <c r="F393" s="40"/>
      <c r="G393" s="40"/>
      <c r="H393" s="40"/>
      <c r="I393" s="40"/>
      <c r="J393" s="57"/>
      <c r="K393" s="89"/>
      <c r="L393" s="66"/>
      <c r="M393" s="68"/>
      <c r="N393" s="68"/>
      <c r="O393" s="68"/>
      <c r="P393" s="68">
        <f t="shared" si="297"/>
        <v>0</v>
      </c>
      <c r="Q393" s="100"/>
      <c r="R393" s="104">
        <f t="shared" si="296"/>
        <v>0</v>
      </c>
      <c r="S393" s="77"/>
      <c r="T393" s="77"/>
      <c r="U393" s="78"/>
      <c r="V393" s="78">
        <f t="shared" si="298"/>
        <v>0</v>
      </c>
      <c r="W393" s="40"/>
      <c r="X393" s="129"/>
      <c r="Y393" s="79"/>
      <c r="Z393" s="79"/>
      <c r="AA393" s="79"/>
      <c r="AB393" s="80"/>
      <c r="AC393" s="78">
        <f t="shared" si="299"/>
        <v>0</v>
      </c>
      <c r="AD393" s="83"/>
      <c r="AE393" s="77">
        <f t="shared" si="300"/>
        <v>0</v>
      </c>
      <c r="AF393" s="40"/>
    </row>
    <row r="394" spans="2:32" s="43" customFormat="1" hidden="1">
      <c r="B394" s="17"/>
      <c r="C394" s="40" t="e">
        <f>VLOOKUP(B394,[1]Sheet1!$A:$B,2,0)</f>
        <v>#N/A</v>
      </c>
      <c r="D394" s="40"/>
      <c r="E394" s="40"/>
      <c r="F394" s="40"/>
      <c r="G394" s="40"/>
      <c r="H394" s="40"/>
      <c r="I394" s="40"/>
      <c r="J394" s="57"/>
      <c r="K394" s="89"/>
      <c r="L394" s="66"/>
      <c r="M394" s="68"/>
      <c r="N394" s="68"/>
      <c r="O394" s="68"/>
      <c r="P394" s="68">
        <f t="shared" si="297"/>
        <v>0</v>
      </c>
      <c r="Q394" s="100"/>
      <c r="R394" s="104">
        <f t="shared" si="296"/>
        <v>0</v>
      </c>
      <c r="S394" s="77"/>
      <c r="T394" s="77"/>
      <c r="U394" s="78"/>
      <c r="V394" s="78">
        <f t="shared" si="298"/>
        <v>0</v>
      </c>
      <c r="W394" s="40"/>
      <c r="X394" s="129"/>
      <c r="Y394" s="79"/>
      <c r="Z394" s="79"/>
      <c r="AA394" s="79"/>
      <c r="AB394" s="80"/>
      <c r="AC394" s="78">
        <f t="shared" si="299"/>
        <v>0</v>
      </c>
      <c r="AD394" s="83"/>
      <c r="AE394" s="77">
        <f t="shared" si="300"/>
        <v>0</v>
      </c>
      <c r="AF394" s="40"/>
    </row>
    <row r="395" spans="2:32" s="43" customFormat="1" hidden="1">
      <c r="B395" s="17"/>
      <c r="C395" s="40" t="e">
        <f>VLOOKUP(B395,[1]Sheet1!$A:$B,2,0)</f>
        <v>#N/A</v>
      </c>
      <c r="D395" s="40"/>
      <c r="E395" s="40"/>
      <c r="F395" s="40"/>
      <c r="G395" s="40"/>
      <c r="H395" s="40"/>
      <c r="I395" s="40"/>
      <c r="J395" s="57"/>
      <c r="K395" s="89"/>
      <c r="L395" s="66"/>
      <c r="M395" s="68"/>
      <c r="N395" s="68"/>
      <c r="O395" s="68"/>
      <c r="P395" s="68">
        <f t="shared" si="297"/>
        <v>0</v>
      </c>
      <c r="Q395" s="100"/>
      <c r="R395" s="104">
        <f t="shared" si="296"/>
        <v>0</v>
      </c>
      <c r="S395" s="77"/>
      <c r="T395" s="77"/>
      <c r="U395" s="78"/>
      <c r="V395" s="78">
        <f t="shared" si="298"/>
        <v>0</v>
      </c>
      <c r="W395" s="40"/>
      <c r="X395" s="129"/>
      <c r="Y395" s="79"/>
      <c r="Z395" s="79"/>
      <c r="AA395" s="79"/>
      <c r="AB395" s="80"/>
      <c r="AC395" s="78">
        <f t="shared" si="299"/>
        <v>0</v>
      </c>
      <c r="AD395" s="83"/>
      <c r="AE395" s="77">
        <f t="shared" si="300"/>
        <v>0</v>
      </c>
      <c r="AF395" s="40"/>
    </row>
    <row r="396" spans="2:32" s="43" customFormat="1" hidden="1">
      <c r="B396" s="17"/>
      <c r="C396" s="40" t="e">
        <f>VLOOKUP(B396,[1]Sheet1!$A:$B,2,0)</f>
        <v>#N/A</v>
      </c>
      <c r="D396" s="40"/>
      <c r="E396" s="40"/>
      <c r="F396" s="40"/>
      <c r="G396" s="40"/>
      <c r="H396" s="40"/>
      <c r="I396" s="40"/>
      <c r="J396" s="57"/>
      <c r="K396" s="89"/>
      <c r="L396" s="66"/>
      <c r="M396" s="68"/>
      <c r="N396" s="68"/>
      <c r="O396" s="68"/>
      <c r="P396" s="68">
        <f t="shared" si="297"/>
        <v>0</v>
      </c>
      <c r="Q396" s="100"/>
      <c r="R396" s="104">
        <f t="shared" si="296"/>
        <v>0</v>
      </c>
      <c r="S396" s="77"/>
      <c r="T396" s="77"/>
      <c r="U396" s="78"/>
      <c r="V396" s="78">
        <f t="shared" si="298"/>
        <v>0</v>
      </c>
      <c r="W396" s="40"/>
      <c r="X396" s="129"/>
      <c r="Y396" s="79"/>
      <c r="Z396" s="79"/>
      <c r="AA396" s="79"/>
      <c r="AB396" s="80"/>
      <c r="AC396" s="78">
        <f t="shared" si="299"/>
        <v>0</v>
      </c>
      <c r="AD396" s="83"/>
      <c r="AE396" s="77">
        <f t="shared" si="300"/>
        <v>0</v>
      </c>
      <c r="AF396" s="40"/>
    </row>
    <row r="397" spans="2:32" s="43" customFormat="1" hidden="1">
      <c r="B397" s="17"/>
      <c r="C397" s="40" t="e">
        <f>VLOOKUP(B397,[1]Sheet1!$A:$B,2,0)</f>
        <v>#N/A</v>
      </c>
      <c r="D397" s="40"/>
      <c r="E397" s="40"/>
      <c r="F397" s="40"/>
      <c r="G397" s="40"/>
      <c r="H397" s="40"/>
      <c r="I397" s="40"/>
      <c r="J397" s="57"/>
      <c r="K397" s="89"/>
      <c r="L397" s="66"/>
      <c r="M397" s="68"/>
      <c r="N397" s="68"/>
      <c r="O397" s="68"/>
      <c r="P397" s="68">
        <f t="shared" si="297"/>
        <v>0</v>
      </c>
      <c r="Q397" s="100"/>
      <c r="R397" s="104">
        <f t="shared" si="296"/>
        <v>0</v>
      </c>
      <c r="S397" s="77"/>
      <c r="T397" s="77"/>
      <c r="U397" s="78"/>
      <c r="V397" s="78">
        <f t="shared" si="298"/>
        <v>0</v>
      </c>
      <c r="W397" s="40"/>
      <c r="X397" s="129"/>
      <c r="Y397" s="79"/>
      <c r="Z397" s="79"/>
      <c r="AA397" s="79"/>
      <c r="AB397" s="80"/>
      <c r="AC397" s="78">
        <f t="shared" si="299"/>
        <v>0</v>
      </c>
      <c r="AD397" s="83"/>
      <c r="AE397" s="77">
        <f t="shared" si="300"/>
        <v>0</v>
      </c>
      <c r="AF397" s="40"/>
    </row>
    <row r="398" spans="2:32" s="43" customFormat="1" hidden="1">
      <c r="B398" s="17"/>
      <c r="C398" s="40" t="e">
        <f>VLOOKUP(B398,[1]Sheet1!$A:$B,2,0)</f>
        <v>#N/A</v>
      </c>
      <c r="D398" s="40"/>
      <c r="E398" s="40"/>
      <c r="F398" s="40"/>
      <c r="G398" s="40"/>
      <c r="H398" s="40"/>
      <c r="I398" s="40"/>
      <c r="J398" s="57"/>
      <c r="K398" s="89"/>
      <c r="L398" s="66"/>
      <c r="M398" s="68"/>
      <c r="N398" s="68"/>
      <c r="O398" s="68"/>
      <c r="P398" s="68">
        <f t="shared" si="297"/>
        <v>0</v>
      </c>
      <c r="Q398" s="100"/>
      <c r="R398" s="104">
        <f t="shared" si="296"/>
        <v>0</v>
      </c>
      <c r="S398" s="77"/>
      <c r="T398" s="77"/>
      <c r="U398" s="78"/>
      <c r="V398" s="78">
        <f t="shared" si="298"/>
        <v>0</v>
      </c>
      <c r="W398" s="40"/>
      <c r="X398" s="129"/>
      <c r="Y398" s="79"/>
      <c r="Z398" s="79"/>
      <c r="AA398" s="79"/>
      <c r="AB398" s="80"/>
      <c r="AC398" s="78">
        <f t="shared" si="299"/>
        <v>0</v>
      </c>
      <c r="AD398" s="83"/>
      <c r="AE398" s="77">
        <f t="shared" si="300"/>
        <v>0</v>
      </c>
      <c r="AF398" s="40"/>
    </row>
    <row r="399" spans="2:32" s="43" customFormat="1" hidden="1">
      <c r="B399" s="17"/>
      <c r="C399" s="40" t="e">
        <f>VLOOKUP(B399,[1]Sheet1!$A:$B,2,0)</f>
        <v>#N/A</v>
      </c>
      <c r="D399" s="40"/>
      <c r="E399" s="40"/>
      <c r="F399" s="40"/>
      <c r="G399" s="40"/>
      <c r="H399" s="40"/>
      <c r="I399" s="40"/>
      <c r="J399" s="57"/>
      <c r="K399" s="89"/>
      <c r="L399" s="66"/>
      <c r="M399" s="68"/>
      <c r="N399" s="68"/>
      <c r="O399" s="68"/>
      <c r="P399" s="68">
        <f t="shared" si="297"/>
        <v>0</v>
      </c>
      <c r="Q399" s="100"/>
      <c r="R399" s="104">
        <f t="shared" si="296"/>
        <v>0</v>
      </c>
      <c r="S399" s="77"/>
      <c r="T399" s="77"/>
      <c r="U399" s="78"/>
      <c r="V399" s="78">
        <f t="shared" si="298"/>
        <v>0</v>
      </c>
      <c r="W399" s="40"/>
      <c r="X399" s="129"/>
      <c r="Y399" s="79"/>
      <c r="Z399" s="79"/>
      <c r="AA399" s="79"/>
      <c r="AB399" s="80"/>
      <c r="AC399" s="78">
        <f t="shared" si="299"/>
        <v>0</v>
      </c>
      <c r="AD399" s="83"/>
      <c r="AE399" s="77">
        <f t="shared" si="300"/>
        <v>0</v>
      </c>
      <c r="AF399" s="40"/>
    </row>
    <row r="400" spans="2:32" s="43" customFormat="1" hidden="1">
      <c r="B400" s="17"/>
      <c r="C400" s="40" t="e">
        <f>VLOOKUP(B400,[1]Sheet1!$A:$B,2,0)</f>
        <v>#N/A</v>
      </c>
      <c r="D400" s="40"/>
      <c r="E400" s="40"/>
      <c r="F400" s="40"/>
      <c r="G400" s="40"/>
      <c r="H400" s="40"/>
      <c r="I400" s="40"/>
      <c r="J400" s="57"/>
      <c r="K400" s="89"/>
      <c r="L400" s="66"/>
      <c r="M400" s="68"/>
      <c r="N400" s="68"/>
      <c r="O400" s="68"/>
      <c r="P400" s="68">
        <f t="shared" si="297"/>
        <v>0</v>
      </c>
      <c r="Q400" s="100"/>
      <c r="R400" s="104">
        <f t="shared" si="296"/>
        <v>0</v>
      </c>
      <c r="S400" s="77"/>
      <c r="T400" s="77"/>
      <c r="U400" s="78"/>
      <c r="V400" s="78">
        <f t="shared" si="298"/>
        <v>0</v>
      </c>
      <c r="W400" s="40"/>
      <c r="X400" s="129"/>
      <c r="Y400" s="79"/>
      <c r="Z400" s="79"/>
      <c r="AA400" s="79"/>
      <c r="AB400" s="80"/>
      <c r="AC400" s="78">
        <f t="shared" si="299"/>
        <v>0</v>
      </c>
      <c r="AD400" s="83"/>
      <c r="AE400" s="77">
        <f t="shared" si="300"/>
        <v>0</v>
      </c>
      <c r="AF400" s="40"/>
    </row>
    <row r="401" spans="2:32" s="43" customFormat="1" hidden="1">
      <c r="B401" s="17"/>
      <c r="C401" s="40" t="e">
        <f>VLOOKUP(B401,[1]Sheet1!$A:$B,2,0)</f>
        <v>#N/A</v>
      </c>
      <c r="D401" s="40"/>
      <c r="E401" s="40"/>
      <c r="F401" s="40"/>
      <c r="G401" s="40"/>
      <c r="H401" s="40"/>
      <c r="I401" s="40"/>
      <c r="J401" s="57"/>
      <c r="K401" s="89"/>
      <c r="L401" s="66"/>
      <c r="M401" s="68"/>
      <c r="N401" s="68"/>
      <c r="O401" s="68"/>
      <c r="P401" s="68">
        <f t="shared" si="297"/>
        <v>0</v>
      </c>
      <c r="Q401" s="100"/>
      <c r="R401" s="104">
        <f t="shared" si="296"/>
        <v>0</v>
      </c>
      <c r="S401" s="77"/>
      <c r="T401" s="77"/>
      <c r="U401" s="78"/>
      <c r="V401" s="78">
        <f t="shared" si="298"/>
        <v>0</v>
      </c>
      <c r="W401" s="40"/>
      <c r="X401" s="129"/>
      <c r="Y401" s="79"/>
      <c r="Z401" s="79"/>
      <c r="AA401" s="79"/>
      <c r="AB401" s="80"/>
      <c r="AC401" s="78">
        <f t="shared" si="299"/>
        <v>0</v>
      </c>
      <c r="AD401" s="83"/>
      <c r="AE401" s="77">
        <f t="shared" si="300"/>
        <v>0</v>
      </c>
      <c r="AF401" s="40"/>
    </row>
    <row r="402" spans="2:32" s="43" customFormat="1" hidden="1">
      <c r="B402" s="17"/>
      <c r="C402" s="40" t="e">
        <f>VLOOKUP(B402,[1]Sheet1!$A:$B,2,0)</f>
        <v>#N/A</v>
      </c>
      <c r="D402" s="40"/>
      <c r="E402" s="40"/>
      <c r="F402" s="40"/>
      <c r="G402" s="40"/>
      <c r="H402" s="40"/>
      <c r="I402" s="40"/>
      <c r="J402" s="57"/>
      <c r="K402" s="89"/>
      <c r="L402" s="66"/>
      <c r="M402" s="68"/>
      <c r="N402" s="68"/>
      <c r="O402" s="68"/>
      <c r="P402" s="68">
        <f t="shared" si="297"/>
        <v>0</v>
      </c>
      <c r="Q402" s="100"/>
      <c r="R402" s="104">
        <f t="shared" si="296"/>
        <v>0</v>
      </c>
      <c r="S402" s="77"/>
      <c r="T402" s="77"/>
      <c r="U402" s="78"/>
      <c r="V402" s="78">
        <f t="shared" si="298"/>
        <v>0</v>
      </c>
      <c r="W402" s="40"/>
      <c r="X402" s="129"/>
      <c r="Y402" s="79"/>
      <c r="Z402" s="79"/>
      <c r="AA402" s="79"/>
      <c r="AB402" s="80"/>
      <c r="AC402" s="78">
        <f t="shared" si="299"/>
        <v>0</v>
      </c>
      <c r="AD402" s="83"/>
      <c r="AE402" s="77">
        <f t="shared" si="300"/>
        <v>0</v>
      </c>
      <c r="AF402" s="40"/>
    </row>
    <row r="403" spans="2:32" s="43" customFormat="1" hidden="1">
      <c r="B403" s="17"/>
      <c r="C403" s="40" t="e">
        <f>VLOOKUP(B403,[1]Sheet1!$A:$B,2,0)</f>
        <v>#N/A</v>
      </c>
      <c r="D403" s="40"/>
      <c r="E403" s="40"/>
      <c r="F403" s="40"/>
      <c r="G403" s="40"/>
      <c r="H403" s="40"/>
      <c r="I403" s="40"/>
      <c r="J403" s="57"/>
      <c r="K403" s="89"/>
      <c r="L403" s="66"/>
      <c r="M403" s="68"/>
      <c r="N403" s="68"/>
      <c r="O403" s="68"/>
      <c r="P403" s="68">
        <f t="shared" si="297"/>
        <v>0</v>
      </c>
      <c r="Q403" s="100"/>
      <c r="R403" s="104">
        <f t="shared" si="296"/>
        <v>0</v>
      </c>
      <c r="S403" s="77"/>
      <c r="T403" s="77"/>
      <c r="U403" s="78"/>
      <c r="V403" s="78">
        <f t="shared" si="298"/>
        <v>0</v>
      </c>
      <c r="W403" s="40"/>
      <c r="X403" s="129"/>
      <c r="Y403" s="79"/>
      <c r="Z403" s="79"/>
      <c r="AA403" s="79"/>
      <c r="AB403" s="80"/>
      <c r="AC403" s="78">
        <f t="shared" si="299"/>
        <v>0</v>
      </c>
      <c r="AD403" s="83"/>
      <c r="AE403" s="77">
        <f t="shared" si="300"/>
        <v>0</v>
      </c>
      <c r="AF403" s="40"/>
    </row>
    <row r="404" spans="2:32" s="43" customFormat="1" hidden="1">
      <c r="B404" s="17"/>
      <c r="C404" s="40" t="e">
        <f>VLOOKUP(B404,[1]Sheet1!$A:$B,2,0)</f>
        <v>#N/A</v>
      </c>
      <c r="D404" s="40"/>
      <c r="E404" s="40"/>
      <c r="F404" s="40"/>
      <c r="G404" s="40"/>
      <c r="H404" s="40"/>
      <c r="I404" s="40"/>
      <c r="J404" s="57"/>
      <c r="K404" s="89"/>
      <c r="L404" s="66"/>
      <c r="M404" s="68"/>
      <c r="N404" s="68"/>
      <c r="O404" s="68"/>
      <c r="P404" s="68">
        <f t="shared" si="297"/>
        <v>0</v>
      </c>
      <c r="Q404" s="100"/>
      <c r="R404" s="104">
        <f t="shared" si="296"/>
        <v>0</v>
      </c>
      <c r="S404" s="77"/>
      <c r="T404" s="77"/>
      <c r="U404" s="78"/>
      <c r="V404" s="78">
        <f t="shared" si="298"/>
        <v>0</v>
      </c>
      <c r="W404" s="40"/>
      <c r="X404" s="129"/>
      <c r="Y404" s="79"/>
      <c r="Z404" s="79"/>
      <c r="AA404" s="79"/>
      <c r="AB404" s="80"/>
      <c r="AC404" s="78">
        <f t="shared" si="299"/>
        <v>0</v>
      </c>
      <c r="AD404" s="83"/>
      <c r="AE404" s="77">
        <f t="shared" si="300"/>
        <v>0</v>
      </c>
      <c r="AF404" s="40"/>
    </row>
    <row r="405" spans="2:32" s="43" customFormat="1" hidden="1">
      <c r="B405" s="17"/>
      <c r="C405" s="40" t="e">
        <f>VLOOKUP(B405,[1]Sheet1!$A:$B,2,0)</f>
        <v>#N/A</v>
      </c>
      <c r="D405" s="40"/>
      <c r="E405" s="40"/>
      <c r="F405" s="40"/>
      <c r="G405" s="40"/>
      <c r="H405" s="40"/>
      <c r="I405" s="40"/>
      <c r="J405" s="57"/>
      <c r="K405" s="89"/>
      <c r="L405" s="66"/>
      <c r="M405" s="68"/>
      <c r="N405" s="68"/>
      <c r="O405" s="68"/>
      <c r="P405" s="68">
        <f t="shared" si="297"/>
        <v>0</v>
      </c>
      <c r="Q405" s="100"/>
      <c r="R405" s="104">
        <f t="shared" si="296"/>
        <v>0</v>
      </c>
      <c r="S405" s="77"/>
      <c r="T405" s="77"/>
      <c r="U405" s="78"/>
      <c r="V405" s="78">
        <f t="shared" si="298"/>
        <v>0</v>
      </c>
      <c r="W405" s="40"/>
      <c r="X405" s="129"/>
      <c r="Y405" s="79"/>
      <c r="Z405" s="79"/>
      <c r="AA405" s="79"/>
      <c r="AB405" s="80"/>
      <c r="AC405" s="78">
        <f t="shared" si="299"/>
        <v>0</v>
      </c>
      <c r="AD405" s="83"/>
      <c r="AE405" s="77">
        <f t="shared" si="300"/>
        <v>0</v>
      </c>
      <c r="AF405" s="40"/>
    </row>
    <row r="406" spans="2:32" s="43" customFormat="1" hidden="1">
      <c r="B406" s="17"/>
      <c r="C406" s="40" t="e">
        <f>VLOOKUP(B406,[1]Sheet1!$A:$B,2,0)</f>
        <v>#N/A</v>
      </c>
      <c r="D406" s="40"/>
      <c r="E406" s="40"/>
      <c r="F406" s="40"/>
      <c r="G406" s="40"/>
      <c r="H406" s="40"/>
      <c r="I406" s="40"/>
      <c r="J406" s="57"/>
      <c r="K406" s="89"/>
      <c r="L406" s="66"/>
      <c r="M406" s="68"/>
      <c r="N406" s="68"/>
      <c r="O406" s="68"/>
      <c r="P406" s="68">
        <f t="shared" si="297"/>
        <v>0</v>
      </c>
      <c r="Q406" s="100"/>
      <c r="R406" s="104">
        <f t="shared" si="296"/>
        <v>0</v>
      </c>
      <c r="S406" s="77"/>
      <c r="T406" s="77"/>
      <c r="U406" s="78"/>
      <c r="V406" s="78">
        <f t="shared" si="298"/>
        <v>0</v>
      </c>
      <c r="W406" s="40"/>
      <c r="X406" s="129"/>
      <c r="Y406" s="79"/>
      <c r="Z406" s="79"/>
      <c r="AA406" s="79"/>
      <c r="AB406" s="80"/>
      <c r="AC406" s="78">
        <f t="shared" si="299"/>
        <v>0</v>
      </c>
      <c r="AD406" s="83"/>
      <c r="AE406" s="77">
        <f t="shared" si="300"/>
        <v>0</v>
      </c>
      <c r="AF406" s="40"/>
    </row>
    <row r="407" spans="2:32" s="43" customFormat="1" hidden="1">
      <c r="B407" s="17"/>
      <c r="C407" s="40" t="e">
        <f>VLOOKUP(B407,[1]Sheet1!$A:$B,2,0)</f>
        <v>#N/A</v>
      </c>
      <c r="D407" s="40"/>
      <c r="E407" s="40"/>
      <c r="F407" s="40"/>
      <c r="G407" s="40"/>
      <c r="H407" s="40"/>
      <c r="I407" s="40"/>
      <c r="J407" s="57"/>
      <c r="K407" s="89"/>
      <c r="L407" s="66"/>
      <c r="M407" s="68"/>
      <c r="N407" s="68"/>
      <c r="O407" s="68"/>
      <c r="P407" s="68">
        <f t="shared" si="297"/>
        <v>0</v>
      </c>
      <c r="Q407" s="100"/>
      <c r="R407" s="104">
        <f t="shared" si="296"/>
        <v>0</v>
      </c>
      <c r="S407" s="77"/>
      <c r="T407" s="77"/>
      <c r="U407" s="78"/>
      <c r="V407" s="78">
        <f t="shared" ref="V407:V438" si="301">U407-O407*T407</f>
        <v>0</v>
      </c>
      <c r="W407" s="40"/>
      <c r="X407" s="129"/>
      <c r="Y407" s="79"/>
      <c r="Z407" s="79"/>
      <c r="AA407" s="79"/>
      <c r="AB407" s="80"/>
      <c r="AC407" s="78">
        <f t="shared" si="299"/>
        <v>0</v>
      </c>
      <c r="AD407" s="83"/>
      <c r="AE407" s="77">
        <f t="shared" ref="AE407:AE439" si="302">S407*Y407/1000</f>
        <v>0</v>
      </c>
      <c r="AF407" s="40"/>
    </row>
    <row r="408" spans="2:32" s="43" customFormat="1" hidden="1">
      <c r="B408" s="17"/>
      <c r="C408" s="40" t="e">
        <f>VLOOKUP(B408,[1]Sheet1!$A:$B,2,0)</f>
        <v>#N/A</v>
      </c>
      <c r="D408" s="40"/>
      <c r="E408" s="40"/>
      <c r="F408" s="40"/>
      <c r="G408" s="40"/>
      <c r="H408" s="40"/>
      <c r="I408" s="40"/>
      <c r="J408" s="57"/>
      <c r="K408" s="89"/>
      <c r="L408" s="66"/>
      <c r="M408" s="68"/>
      <c r="N408" s="68"/>
      <c r="O408" s="68"/>
      <c r="P408" s="68">
        <f t="shared" si="297"/>
        <v>0</v>
      </c>
      <c r="Q408" s="100"/>
      <c r="R408" s="104">
        <f t="shared" si="296"/>
        <v>0</v>
      </c>
      <c r="S408" s="77"/>
      <c r="T408" s="77"/>
      <c r="U408" s="78"/>
      <c r="V408" s="78">
        <f t="shared" si="301"/>
        <v>0</v>
      </c>
      <c r="W408" s="40"/>
      <c r="X408" s="129"/>
      <c r="Y408" s="79"/>
      <c r="Z408" s="79"/>
      <c r="AA408" s="79"/>
      <c r="AB408" s="80"/>
      <c r="AC408" s="78">
        <f t="shared" ref="AC408:AC439" si="303">N408*S408</f>
        <v>0</v>
      </c>
      <c r="AD408" s="83"/>
      <c r="AE408" s="77">
        <f t="shared" si="302"/>
        <v>0</v>
      </c>
      <c r="AF408" s="40"/>
    </row>
    <row r="409" spans="2:32" s="43" customFormat="1" hidden="1">
      <c r="B409" s="17"/>
      <c r="C409" s="40" t="e">
        <f>VLOOKUP(B409,[1]Sheet1!$A:$B,2,0)</f>
        <v>#N/A</v>
      </c>
      <c r="D409" s="40"/>
      <c r="E409" s="40"/>
      <c r="F409" s="40"/>
      <c r="G409" s="40"/>
      <c r="H409" s="40"/>
      <c r="I409" s="40"/>
      <c r="J409" s="57"/>
      <c r="K409" s="89"/>
      <c r="L409" s="66"/>
      <c r="M409" s="68"/>
      <c r="N409" s="68"/>
      <c r="O409" s="68"/>
      <c r="P409" s="68">
        <f t="shared" si="297"/>
        <v>0</v>
      </c>
      <c r="Q409" s="100"/>
      <c r="R409" s="104">
        <f t="shared" si="296"/>
        <v>0</v>
      </c>
      <c r="S409" s="77"/>
      <c r="T409" s="77"/>
      <c r="U409" s="78"/>
      <c r="V409" s="78">
        <f t="shared" si="301"/>
        <v>0</v>
      </c>
      <c r="W409" s="40"/>
      <c r="X409" s="129"/>
      <c r="Y409" s="79"/>
      <c r="Z409" s="79"/>
      <c r="AA409" s="79"/>
      <c r="AB409" s="80"/>
      <c r="AC409" s="78">
        <f t="shared" si="303"/>
        <v>0</v>
      </c>
      <c r="AD409" s="83"/>
      <c r="AE409" s="77">
        <f t="shared" si="302"/>
        <v>0</v>
      </c>
      <c r="AF409" s="40"/>
    </row>
    <row r="410" spans="2:32" s="43" customFormat="1" hidden="1">
      <c r="B410" s="17"/>
      <c r="C410" s="40" t="e">
        <f>VLOOKUP(B410,[1]Sheet1!$A:$B,2,0)</f>
        <v>#N/A</v>
      </c>
      <c r="D410" s="40"/>
      <c r="E410" s="40"/>
      <c r="F410" s="40"/>
      <c r="G410" s="40"/>
      <c r="H410" s="40"/>
      <c r="I410" s="40"/>
      <c r="J410" s="57"/>
      <c r="K410" s="89"/>
      <c r="L410" s="66"/>
      <c r="M410" s="68"/>
      <c r="N410" s="68"/>
      <c r="O410" s="68"/>
      <c r="P410" s="68">
        <f t="shared" si="297"/>
        <v>0</v>
      </c>
      <c r="Q410" s="100"/>
      <c r="R410" s="104">
        <f t="shared" si="296"/>
        <v>0</v>
      </c>
      <c r="S410" s="77"/>
      <c r="T410" s="77"/>
      <c r="U410" s="78"/>
      <c r="V410" s="78">
        <f t="shared" si="301"/>
        <v>0</v>
      </c>
      <c r="W410" s="40"/>
      <c r="X410" s="129"/>
      <c r="Y410" s="79"/>
      <c r="Z410" s="79"/>
      <c r="AA410" s="79"/>
      <c r="AB410" s="80"/>
      <c r="AC410" s="78">
        <f t="shared" si="303"/>
        <v>0</v>
      </c>
      <c r="AD410" s="83"/>
      <c r="AE410" s="77">
        <f t="shared" si="302"/>
        <v>0</v>
      </c>
      <c r="AF410" s="40"/>
    </row>
    <row r="411" spans="2:32" s="43" customFormat="1" hidden="1">
      <c r="B411" s="17"/>
      <c r="C411" s="40" t="e">
        <f>VLOOKUP(B411,[1]Sheet1!$A:$B,2,0)</f>
        <v>#N/A</v>
      </c>
      <c r="D411" s="40"/>
      <c r="E411" s="40"/>
      <c r="F411" s="40"/>
      <c r="G411" s="40"/>
      <c r="H411" s="40"/>
      <c r="I411" s="40"/>
      <c r="J411" s="57"/>
      <c r="K411" s="89"/>
      <c r="L411" s="66"/>
      <c r="M411" s="68"/>
      <c r="N411" s="68"/>
      <c r="O411" s="68"/>
      <c r="P411" s="68">
        <f t="shared" si="297"/>
        <v>0</v>
      </c>
      <c r="Q411" s="100"/>
      <c r="R411" s="104">
        <f t="shared" si="296"/>
        <v>0</v>
      </c>
      <c r="S411" s="77"/>
      <c r="T411" s="77"/>
      <c r="U411" s="78"/>
      <c r="V411" s="78">
        <f t="shared" si="301"/>
        <v>0</v>
      </c>
      <c r="W411" s="40"/>
      <c r="X411" s="129"/>
      <c r="Y411" s="79"/>
      <c r="Z411" s="79"/>
      <c r="AA411" s="79"/>
      <c r="AB411" s="80"/>
      <c r="AC411" s="78">
        <f t="shared" si="303"/>
        <v>0</v>
      </c>
      <c r="AD411" s="83"/>
      <c r="AE411" s="77">
        <f t="shared" si="302"/>
        <v>0</v>
      </c>
      <c r="AF411" s="40"/>
    </row>
    <row r="412" spans="2:32" s="43" customFormat="1" hidden="1">
      <c r="B412" s="17"/>
      <c r="C412" s="40" t="e">
        <f>VLOOKUP(B412,[1]Sheet1!$A:$B,2,0)</f>
        <v>#N/A</v>
      </c>
      <c r="D412" s="40"/>
      <c r="E412" s="40"/>
      <c r="F412" s="40"/>
      <c r="G412" s="40"/>
      <c r="H412" s="40"/>
      <c r="I412" s="40"/>
      <c r="J412" s="57"/>
      <c r="K412" s="89"/>
      <c r="L412" s="66"/>
      <c r="M412" s="68"/>
      <c r="N412" s="68"/>
      <c r="O412" s="68"/>
      <c r="P412" s="68">
        <f t="shared" si="297"/>
        <v>0</v>
      </c>
      <c r="Q412" s="100"/>
      <c r="R412" s="104">
        <f t="shared" si="296"/>
        <v>0</v>
      </c>
      <c r="S412" s="77"/>
      <c r="T412" s="77"/>
      <c r="U412" s="78"/>
      <c r="V412" s="78">
        <f t="shared" si="301"/>
        <v>0</v>
      </c>
      <c r="W412" s="40"/>
      <c r="X412" s="129"/>
      <c r="Y412" s="79"/>
      <c r="Z412" s="79"/>
      <c r="AA412" s="79"/>
      <c r="AB412" s="80"/>
      <c r="AC412" s="78">
        <f t="shared" si="303"/>
        <v>0</v>
      </c>
      <c r="AD412" s="83"/>
      <c r="AE412" s="77">
        <f t="shared" si="302"/>
        <v>0</v>
      </c>
      <c r="AF412" s="40"/>
    </row>
    <row r="413" spans="2:32" s="43" customFormat="1" hidden="1">
      <c r="B413" s="17"/>
      <c r="C413" s="40" t="e">
        <f>VLOOKUP(B413,[1]Sheet1!$A:$B,2,0)</f>
        <v>#N/A</v>
      </c>
      <c r="D413" s="40"/>
      <c r="E413" s="40"/>
      <c r="F413" s="40"/>
      <c r="G413" s="40"/>
      <c r="H413" s="40"/>
      <c r="I413" s="40"/>
      <c r="J413" s="57"/>
      <c r="K413" s="89"/>
      <c r="L413" s="66"/>
      <c r="M413" s="68"/>
      <c r="N413" s="68"/>
      <c r="O413" s="68"/>
      <c r="P413" s="68">
        <f t="shared" si="297"/>
        <v>0</v>
      </c>
      <c r="Q413" s="100"/>
      <c r="R413" s="104">
        <f t="shared" si="296"/>
        <v>0</v>
      </c>
      <c r="S413" s="77"/>
      <c r="T413" s="77"/>
      <c r="U413" s="78"/>
      <c r="V413" s="78">
        <f t="shared" si="301"/>
        <v>0</v>
      </c>
      <c r="W413" s="40"/>
      <c r="X413" s="129"/>
      <c r="Y413" s="79"/>
      <c r="Z413" s="79"/>
      <c r="AA413" s="79"/>
      <c r="AB413" s="80"/>
      <c r="AC413" s="78">
        <f t="shared" si="303"/>
        <v>0</v>
      </c>
      <c r="AD413" s="83"/>
      <c r="AE413" s="77">
        <f t="shared" si="302"/>
        <v>0</v>
      </c>
      <c r="AF413" s="40"/>
    </row>
    <row r="414" spans="2:32" s="43" customFormat="1" hidden="1">
      <c r="B414" s="17"/>
      <c r="C414" s="40" t="e">
        <f>VLOOKUP(B414,[1]Sheet1!$A:$B,2,0)</f>
        <v>#N/A</v>
      </c>
      <c r="D414" s="40"/>
      <c r="E414" s="40"/>
      <c r="F414" s="40"/>
      <c r="G414" s="40"/>
      <c r="H414" s="40"/>
      <c r="I414" s="40"/>
      <c r="J414" s="57"/>
      <c r="K414" s="89"/>
      <c r="L414" s="66"/>
      <c r="M414" s="68"/>
      <c r="N414" s="68"/>
      <c r="O414" s="68"/>
      <c r="P414" s="68">
        <f t="shared" si="297"/>
        <v>0</v>
      </c>
      <c r="Q414" s="100"/>
      <c r="R414" s="104">
        <f t="shared" si="296"/>
        <v>0</v>
      </c>
      <c r="S414" s="77"/>
      <c r="T414" s="77"/>
      <c r="U414" s="78"/>
      <c r="V414" s="78">
        <f t="shared" si="301"/>
        <v>0</v>
      </c>
      <c r="W414" s="40"/>
      <c r="X414" s="129"/>
      <c r="Y414" s="79"/>
      <c r="Z414" s="79"/>
      <c r="AA414" s="79"/>
      <c r="AB414" s="80"/>
      <c r="AC414" s="78">
        <f t="shared" si="303"/>
        <v>0</v>
      </c>
      <c r="AD414" s="83"/>
      <c r="AE414" s="77">
        <f t="shared" si="302"/>
        <v>0</v>
      </c>
      <c r="AF414" s="40"/>
    </row>
    <row r="415" spans="2:32" s="43" customFormat="1" hidden="1">
      <c r="B415" s="17"/>
      <c r="C415" s="40" t="e">
        <f>VLOOKUP(B415,[1]Sheet1!$A:$B,2,0)</f>
        <v>#N/A</v>
      </c>
      <c r="D415" s="40"/>
      <c r="E415" s="40"/>
      <c r="F415" s="40"/>
      <c r="G415" s="40"/>
      <c r="H415" s="40"/>
      <c r="I415" s="40"/>
      <c r="J415" s="57"/>
      <c r="K415" s="89"/>
      <c r="L415" s="66"/>
      <c r="M415" s="68"/>
      <c r="N415" s="68"/>
      <c r="O415" s="68"/>
      <c r="P415" s="68">
        <f t="shared" si="297"/>
        <v>0</v>
      </c>
      <c r="Q415" s="100"/>
      <c r="R415" s="104">
        <f t="shared" si="296"/>
        <v>0</v>
      </c>
      <c r="S415" s="77"/>
      <c r="T415" s="77"/>
      <c r="U415" s="78"/>
      <c r="V415" s="78">
        <f t="shared" si="301"/>
        <v>0</v>
      </c>
      <c r="W415" s="40"/>
      <c r="X415" s="129"/>
      <c r="Y415" s="79"/>
      <c r="Z415" s="79"/>
      <c r="AA415" s="79"/>
      <c r="AB415" s="80"/>
      <c r="AC415" s="78">
        <f t="shared" si="303"/>
        <v>0</v>
      </c>
      <c r="AD415" s="83"/>
      <c r="AE415" s="77">
        <f t="shared" si="302"/>
        <v>0</v>
      </c>
      <c r="AF415" s="40"/>
    </row>
    <row r="416" spans="2:32" s="43" customFormat="1" hidden="1">
      <c r="B416" s="17"/>
      <c r="C416" s="40" t="e">
        <f>VLOOKUP(B416,[1]Sheet1!$A:$B,2,0)</f>
        <v>#N/A</v>
      </c>
      <c r="D416" s="40"/>
      <c r="E416" s="40"/>
      <c r="F416" s="40"/>
      <c r="G416" s="40"/>
      <c r="H416" s="40"/>
      <c r="I416" s="40"/>
      <c r="J416" s="57"/>
      <c r="K416" s="89"/>
      <c r="L416" s="66"/>
      <c r="M416" s="68"/>
      <c r="N416" s="68"/>
      <c r="O416" s="68"/>
      <c r="P416" s="68">
        <f t="shared" si="297"/>
        <v>0</v>
      </c>
      <c r="Q416" s="100"/>
      <c r="R416" s="104">
        <f t="shared" si="296"/>
        <v>0</v>
      </c>
      <c r="S416" s="77"/>
      <c r="T416" s="77"/>
      <c r="U416" s="78"/>
      <c r="V416" s="78">
        <f t="shared" si="301"/>
        <v>0</v>
      </c>
      <c r="W416" s="40"/>
      <c r="X416" s="129"/>
      <c r="Y416" s="79"/>
      <c r="Z416" s="79"/>
      <c r="AA416" s="79"/>
      <c r="AB416" s="80"/>
      <c r="AC416" s="78">
        <f t="shared" si="303"/>
        <v>0</v>
      </c>
      <c r="AD416" s="83"/>
      <c r="AE416" s="77">
        <f t="shared" si="302"/>
        <v>0</v>
      </c>
      <c r="AF416" s="40"/>
    </row>
    <row r="417" spans="2:32" s="43" customFormat="1" hidden="1">
      <c r="B417" s="17"/>
      <c r="C417" s="40" t="e">
        <f>VLOOKUP(B417,[1]Sheet1!$A:$B,2,0)</f>
        <v>#N/A</v>
      </c>
      <c r="D417" s="40"/>
      <c r="E417" s="40"/>
      <c r="F417" s="40"/>
      <c r="G417" s="40"/>
      <c r="H417" s="40"/>
      <c r="I417" s="40"/>
      <c r="J417" s="57"/>
      <c r="K417" s="89"/>
      <c r="L417" s="66"/>
      <c r="M417" s="68"/>
      <c r="N417" s="68"/>
      <c r="O417" s="68"/>
      <c r="P417" s="68">
        <f t="shared" si="297"/>
        <v>0</v>
      </c>
      <c r="Q417" s="100"/>
      <c r="R417" s="104">
        <f t="shared" si="296"/>
        <v>0</v>
      </c>
      <c r="S417" s="77"/>
      <c r="T417" s="77"/>
      <c r="U417" s="78"/>
      <c r="V417" s="78">
        <f t="shared" si="301"/>
        <v>0</v>
      </c>
      <c r="W417" s="40"/>
      <c r="X417" s="129"/>
      <c r="Y417" s="79"/>
      <c r="Z417" s="79"/>
      <c r="AA417" s="79"/>
      <c r="AB417" s="80"/>
      <c r="AC417" s="78">
        <f t="shared" si="303"/>
        <v>0</v>
      </c>
      <c r="AD417" s="83"/>
      <c r="AE417" s="77">
        <f t="shared" si="302"/>
        <v>0</v>
      </c>
      <c r="AF417" s="40"/>
    </row>
    <row r="418" spans="2:32" s="43" customFormat="1" hidden="1">
      <c r="B418" s="17"/>
      <c r="C418" s="40" t="e">
        <f>VLOOKUP(B418,[1]Sheet1!$A:$B,2,0)</f>
        <v>#N/A</v>
      </c>
      <c r="D418" s="40"/>
      <c r="E418" s="40"/>
      <c r="F418" s="40"/>
      <c r="G418" s="40"/>
      <c r="H418" s="40"/>
      <c r="I418" s="40"/>
      <c r="J418" s="57"/>
      <c r="K418" s="89"/>
      <c r="L418" s="66"/>
      <c r="M418" s="68"/>
      <c r="N418" s="68"/>
      <c r="O418" s="68"/>
      <c r="P418" s="68">
        <f t="shared" si="297"/>
        <v>0</v>
      </c>
      <c r="Q418" s="100"/>
      <c r="R418" s="104">
        <f t="shared" si="296"/>
        <v>0</v>
      </c>
      <c r="S418" s="77"/>
      <c r="T418" s="77"/>
      <c r="U418" s="78"/>
      <c r="V418" s="78">
        <f t="shared" si="301"/>
        <v>0</v>
      </c>
      <c r="W418" s="40"/>
      <c r="X418" s="129"/>
      <c r="Y418" s="79"/>
      <c r="Z418" s="79"/>
      <c r="AA418" s="79"/>
      <c r="AB418" s="80"/>
      <c r="AC418" s="78">
        <f t="shared" si="303"/>
        <v>0</v>
      </c>
      <c r="AD418" s="83"/>
      <c r="AE418" s="77">
        <f t="shared" si="302"/>
        <v>0</v>
      </c>
      <c r="AF418" s="40"/>
    </row>
    <row r="419" spans="2:32" s="43" customFormat="1" hidden="1">
      <c r="B419" s="17"/>
      <c r="C419" s="40" t="e">
        <f>VLOOKUP(B419,[1]Sheet1!$A:$B,2,0)</f>
        <v>#N/A</v>
      </c>
      <c r="D419" s="40"/>
      <c r="E419" s="40"/>
      <c r="F419" s="40"/>
      <c r="G419" s="40"/>
      <c r="H419" s="40"/>
      <c r="I419" s="40"/>
      <c r="J419" s="57"/>
      <c r="K419" s="89"/>
      <c r="L419" s="66"/>
      <c r="M419" s="68"/>
      <c r="N419" s="68"/>
      <c r="O419" s="68"/>
      <c r="P419" s="68">
        <f t="shared" si="297"/>
        <v>0</v>
      </c>
      <c r="Q419" s="100"/>
      <c r="R419" s="104">
        <f t="shared" si="296"/>
        <v>0</v>
      </c>
      <c r="S419" s="77"/>
      <c r="T419" s="77"/>
      <c r="U419" s="78"/>
      <c r="V419" s="78">
        <f t="shared" si="301"/>
        <v>0</v>
      </c>
      <c r="W419" s="40"/>
      <c r="X419" s="129"/>
      <c r="Y419" s="79"/>
      <c r="Z419" s="79"/>
      <c r="AA419" s="79"/>
      <c r="AB419" s="80"/>
      <c r="AC419" s="78">
        <f t="shared" si="303"/>
        <v>0</v>
      </c>
      <c r="AD419" s="83"/>
      <c r="AE419" s="77">
        <f t="shared" si="302"/>
        <v>0</v>
      </c>
      <c r="AF419" s="40"/>
    </row>
    <row r="420" spans="2:32" s="43" customFormat="1" hidden="1">
      <c r="B420" s="17"/>
      <c r="C420" s="40" t="e">
        <f>VLOOKUP(B420,[1]Sheet1!$A:$B,2,0)</f>
        <v>#N/A</v>
      </c>
      <c r="D420" s="40"/>
      <c r="E420" s="40"/>
      <c r="F420" s="40"/>
      <c r="G420" s="40"/>
      <c r="H420" s="40"/>
      <c r="I420" s="40"/>
      <c r="J420" s="57"/>
      <c r="K420" s="89"/>
      <c r="L420" s="66"/>
      <c r="M420" s="68"/>
      <c r="N420" s="68"/>
      <c r="O420" s="68"/>
      <c r="P420" s="68">
        <f t="shared" si="297"/>
        <v>0</v>
      </c>
      <c r="Q420" s="100"/>
      <c r="R420" s="104">
        <f t="shared" si="296"/>
        <v>0</v>
      </c>
      <c r="S420" s="77"/>
      <c r="T420" s="77"/>
      <c r="U420" s="78"/>
      <c r="V420" s="78">
        <f t="shared" si="301"/>
        <v>0</v>
      </c>
      <c r="W420" s="40"/>
      <c r="X420" s="129"/>
      <c r="Y420" s="79"/>
      <c r="Z420" s="79"/>
      <c r="AA420" s="79"/>
      <c r="AB420" s="80"/>
      <c r="AC420" s="78">
        <f t="shared" si="303"/>
        <v>0</v>
      </c>
      <c r="AD420" s="83"/>
      <c r="AE420" s="77">
        <f t="shared" si="302"/>
        <v>0</v>
      </c>
      <c r="AF420" s="40"/>
    </row>
    <row r="421" spans="2:32" s="43" customFormat="1" hidden="1">
      <c r="B421" s="17"/>
      <c r="C421" s="40" t="e">
        <f>VLOOKUP(B421,[1]Sheet1!$A:$B,2,0)</f>
        <v>#N/A</v>
      </c>
      <c r="D421" s="40"/>
      <c r="E421" s="40"/>
      <c r="F421" s="40"/>
      <c r="G421" s="40"/>
      <c r="H421" s="40"/>
      <c r="I421" s="40"/>
      <c r="J421" s="57"/>
      <c r="K421" s="89"/>
      <c r="L421" s="66"/>
      <c r="M421" s="68"/>
      <c r="N421" s="68"/>
      <c r="O421" s="68"/>
      <c r="P421" s="68">
        <f t="shared" si="297"/>
        <v>0</v>
      </c>
      <c r="Q421" s="100"/>
      <c r="R421" s="104">
        <f t="shared" si="296"/>
        <v>0</v>
      </c>
      <c r="S421" s="77"/>
      <c r="T421" s="77"/>
      <c r="U421" s="78"/>
      <c r="V421" s="78">
        <f t="shared" si="301"/>
        <v>0</v>
      </c>
      <c r="W421" s="40"/>
      <c r="X421" s="129"/>
      <c r="Y421" s="79"/>
      <c r="Z421" s="79"/>
      <c r="AA421" s="79"/>
      <c r="AB421" s="80"/>
      <c r="AC421" s="78">
        <f t="shared" si="303"/>
        <v>0</v>
      </c>
      <c r="AD421" s="83"/>
      <c r="AE421" s="77">
        <f t="shared" si="302"/>
        <v>0</v>
      </c>
      <c r="AF421" s="40"/>
    </row>
    <row r="422" spans="2:32" s="43" customFormat="1" hidden="1">
      <c r="B422" s="17"/>
      <c r="C422" s="40" t="e">
        <f>VLOOKUP(B422,[1]Sheet1!$A:$B,2,0)</f>
        <v>#N/A</v>
      </c>
      <c r="D422" s="40"/>
      <c r="E422" s="40"/>
      <c r="F422" s="40"/>
      <c r="G422" s="40"/>
      <c r="H422" s="40"/>
      <c r="I422" s="40"/>
      <c r="J422" s="57"/>
      <c r="K422" s="89"/>
      <c r="L422" s="66"/>
      <c r="M422" s="68"/>
      <c r="N422" s="68"/>
      <c r="O422" s="68"/>
      <c r="P422" s="68">
        <f t="shared" si="297"/>
        <v>0</v>
      </c>
      <c r="Q422" s="100"/>
      <c r="R422" s="104">
        <f t="shared" si="296"/>
        <v>0</v>
      </c>
      <c r="S422" s="77"/>
      <c r="T422" s="77"/>
      <c r="U422" s="78"/>
      <c r="V422" s="78">
        <f t="shared" si="301"/>
        <v>0</v>
      </c>
      <c r="W422" s="40"/>
      <c r="X422" s="129"/>
      <c r="Y422" s="79"/>
      <c r="Z422" s="79"/>
      <c r="AA422" s="79"/>
      <c r="AB422" s="80"/>
      <c r="AC422" s="78">
        <f t="shared" si="303"/>
        <v>0</v>
      </c>
      <c r="AD422" s="83"/>
      <c r="AE422" s="77">
        <f t="shared" si="302"/>
        <v>0</v>
      </c>
      <c r="AF422" s="40"/>
    </row>
    <row r="423" spans="2:32" s="43" customFormat="1" hidden="1">
      <c r="B423" s="17"/>
      <c r="C423" s="40" t="e">
        <f>VLOOKUP(B423,[1]Sheet1!$A:$B,2,0)</f>
        <v>#N/A</v>
      </c>
      <c r="D423" s="40"/>
      <c r="E423" s="40"/>
      <c r="F423" s="40"/>
      <c r="G423" s="40"/>
      <c r="H423" s="40"/>
      <c r="I423" s="40"/>
      <c r="J423" s="57"/>
      <c r="K423" s="89"/>
      <c r="L423" s="66"/>
      <c r="M423" s="68"/>
      <c r="N423" s="68"/>
      <c r="O423" s="68"/>
      <c r="P423" s="68">
        <f t="shared" ref="P423:P441" si="304">L423*O423</f>
        <v>0</v>
      </c>
      <c r="Q423" s="100"/>
      <c r="R423" s="104">
        <f t="shared" si="296"/>
        <v>0</v>
      </c>
      <c r="S423" s="77"/>
      <c r="T423" s="77"/>
      <c r="U423" s="78"/>
      <c r="V423" s="78">
        <f t="shared" si="301"/>
        <v>0</v>
      </c>
      <c r="W423" s="40"/>
      <c r="X423" s="129"/>
      <c r="Y423" s="79"/>
      <c r="Z423" s="79"/>
      <c r="AA423" s="79"/>
      <c r="AB423" s="80"/>
      <c r="AC423" s="78">
        <f t="shared" si="303"/>
        <v>0</v>
      </c>
      <c r="AD423" s="83"/>
      <c r="AE423" s="77">
        <f t="shared" si="302"/>
        <v>0</v>
      </c>
      <c r="AF423" s="40"/>
    </row>
    <row r="424" spans="2:32" s="43" customFormat="1" hidden="1">
      <c r="B424" s="17"/>
      <c r="C424" s="40" t="e">
        <f>VLOOKUP(B424,[1]Sheet1!$A:$B,2,0)</f>
        <v>#N/A</v>
      </c>
      <c r="D424" s="40"/>
      <c r="E424" s="40"/>
      <c r="F424" s="40"/>
      <c r="G424" s="40"/>
      <c r="H424" s="40"/>
      <c r="I424" s="40"/>
      <c r="J424" s="57"/>
      <c r="K424" s="89"/>
      <c r="L424" s="66"/>
      <c r="M424" s="68"/>
      <c r="N424" s="68"/>
      <c r="O424" s="68"/>
      <c r="P424" s="68">
        <f t="shared" si="304"/>
        <v>0</v>
      </c>
      <c r="Q424" s="100"/>
      <c r="R424" s="104">
        <f t="shared" si="296"/>
        <v>0</v>
      </c>
      <c r="S424" s="77"/>
      <c r="T424" s="77"/>
      <c r="U424" s="78"/>
      <c r="V424" s="78">
        <f t="shared" si="301"/>
        <v>0</v>
      </c>
      <c r="W424" s="40"/>
      <c r="X424" s="129"/>
      <c r="Y424" s="79"/>
      <c r="Z424" s="79"/>
      <c r="AA424" s="79"/>
      <c r="AB424" s="80"/>
      <c r="AC424" s="78">
        <f t="shared" si="303"/>
        <v>0</v>
      </c>
      <c r="AD424" s="83"/>
      <c r="AE424" s="77">
        <f t="shared" si="302"/>
        <v>0</v>
      </c>
      <c r="AF424" s="40"/>
    </row>
    <row r="425" spans="2:32" s="43" customFormat="1" hidden="1">
      <c r="B425" s="17"/>
      <c r="C425" s="40" t="e">
        <f>VLOOKUP(B425,[1]Sheet1!$A:$B,2,0)</f>
        <v>#N/A</v>
      </c>
      <c r="D425" s="40"/>
      <c r="E425" s="40"/>
      <c r="F425" s="40"/>
      <c r="G425" s="40"/>
      <c r="H425" s="40"/>
      <c r="I425" s="40"/>
      <c r="J425" s="57"/>
      <c r="K425" s="89"/>
      <c r="L425" s="66"/>
      <c r="M425" s="68"/>
      <c r="N425" s="68"/>
      <c r="O425" s="68"/>
      <c r="P425" s="68">
        <f t="shared" si="304"/>
        <v>0</v>
      </c>
      <c r="Q425" s="100"/>
      <c r="R425" s="104">
        <f t="shared" si="296"/>
        <v>0</v>
      </c>
      <c r="S425" s="77"/>
      <c r="T425" s="77"/>
      <c r="U425" s="78"/>
      <c r="V425" s="78">
        <f t="shared" si="301"/>
        <v>0</v>
      </c>
      <c r="W425" s="40"/>
      <c r="X425" s="129"/>
      <c r="Y425" s="79"/>
      <c r="Z425" s="79"/>
      <c r="AA425" s="79"/>
      <c r="AB425" s="80"/>
      <c r="AC425" s="78">
        <f t="shared" si="303"/>
        <v>0</v>
      </c>
      <c r="AD425" s="83"/>
      <c r="AE425" s="77">
        <f t="shared" si="302"/>
        <v>0</v>
      </c>
      <c r="AF425" s="40"/>
    </row>
    <row r="426" spans="2:32" s="43" customFormat="1" hidden="1">
      <c r="B426" s="17"/>
      <c r="C426" s="40" t="e">
        <f>VLOOKUP(B426,[1]Sheet1!$A:$B,2,0)</f>
        <v>#N/A</v>
      </c>
      <c r="D426" s="40"/>
      <c r="E426" s="40"/>
      <c r="F426" s="40"/>
      <c r="G426" s="40"/>
      <c r="H426" s="40"/>
      <c r="I426" s="40"/>
      <c r="J426" s="57"/>
      <c r="K426" s="89"/>
      <c r="L426" s="66"/>
      <c r="M426" s="68"/>
      <c r="N426" s="68"/>
      <c r="O426" s="68"/>
      <c r="P426" s="68">
        <f t="shared" si="304"/>
        <v>0</v>
      </c>
      <c r="Q426" s="100"/>
      <c r="R426" s="104">
        <f t="shared" si="296"/>
        <v>0</v>
      </c>
      <c r="S426" s="77"/>
      <c r="T426" s="77"/>
      <c r="U426" s="78"/>
      <c r="V426" s="78">
        <f t="shared" si="301"/>
        <v>0</v>
      </c>
      <c r="W426" s="40"/>
      <c r="X426" s="129"/>
      <c r="Y426" s="79"/>
      <c r="Z426" s="79"/>
      <c r="AA426" s="79"/>
      <c r="AB426" s="80"/>
      <c r="AC426" s="78">
        <f t="shared" si="303"/>
        <v>0</v>
      </c>
      <c r="AD426" s="83"/>
      <c r="AE426" s="77">
        <f t="shared" si="302"/>
        <v>0</v>
      </c>
      <c r="AF426" s="40"/>
    </row>
    <row r="427" spans="2:32" s="43" customFormat="1" hidden="1">
      <c r="B427" s="17"/>
      <c r="C427" s="40" t="e">
        <f>VLOOKUP(B427,[1]Sheet1!$A:$B,2,0)</f>
        <v>#N/A</v>
      </c>
      <c r="D427" s="40"/>
      <c r="E427" s="40"/>
      <c r="F427" s="40"/>
      <c r="G427" s="40"/>
      <c r="H427" s="40"/>
      <c r="I427" s="40"/>
      <c r="J427" s="57"/>
      <c r="K427" s="89"/>
      <c r="L427" s="66"/>
      <c r="M427" s="68"/>
      <c r="N427" s="68"/>
      <c r="O427" s="68"/>
      <c r="P427" s="68">
        <f t="shared" si="304"/>
        <v>0</v>
      </c>
      <c r="Q427" s="100"/>
      <c r="R427" s="104">
        <f t="shared" si="296"/>
        <v>0</v>
      </c>
      <c r="S427" s="77"/>
      <c r="T427" s="77"/>
      <c r="U427" s="78"/>
      <c r="V427" s="78">
        <f t="shared" si="301"/>
        <v>0</v>
      </c>
      <c r="W427" s="40"/>
      <c r="X427" s="129"/>
      <c r="Y427" s="79"/>
      <c r="Z427" s="79"/>
      <c r="AA427" s="79"/>
      <c r="AB427" s="80"/>
      <c r="AC427" s="78">
        <f t="shared" si="303"/>
        <v>0</v>
      </c>
      <c r="AD427" s="83"/>
      <c r="AE427" s="77">
        <f t="shared" si="302"/>
        <v>0</v>
      </c>
      <c r="AF427" s="40"/>
    </row>
    <row r="428" spans="2:32" s="43" customFormat="1" hidden="1">
      <c r="B428" s="17"/>
      <c r="C428" s="40" t="e">
        <f>VLOOKUP(B428,[1]Sheet1!$A:$B,2,0)</f>
        <v>#N/A</v>
      </c>
      <c r="D428" s="40"/>
      <c r="E428" s="40"/>
      <c r="F428" s="40"/>
      <c r="G428" s="40"/>
      <c r="H428" s="40"/>
      <c r="I428" s="40"/>
      <c r="J428" s="57"/>
      <c r="K428" s="89"/>
      <c r="L428" s="66"/>
      <c r="M428" s="68"/>
      <c r="N428" s="68"/>
      <c r="O428" s="68"/>
      <c r="P428" s="68">
        <f t="shared" si="304"/>
        <v>0</v>
      </c>
      <c r="Q428" s="100"/>
      <c r="R428" s="104">
        <f t="shared" si="296"/>
        <v>0</v>
      </c>
      <c r="S428" s="77"/>
      <c r="T428" s="77"/>
      <c r="U428" s="78"/>
      <c r="V428" s="78">
        <f t="shared" si="301"/>
        <v>0</v>
      </c>
      <c r="W428" s="40"/>
      <c r="X428" s="129"/>
      <c r="Y428" s="79"/>
      <c r="Z428" s="79"/>
      <c r="AA428" s="79"/>
      <c r="AB428" s="80"/>
      <c r="AC428" s="78">
        <f t="shared" si="303"/>
        <v>0</v>
      </c>
      <c r="AD428" s="83"/>
      <c r="AE428" s="77">
        <f t="shared" si="302"/>
        <v>0</v>
      </c>
      <c r="AF428" s="40"/>
    </row>
    <row r="429" spans="2:32" s="43" customFormat="1" hidden="1">
      <c r="B429" s="17"/>
      <c r="C429" s="40" t="e">
        <f>VLOOKUP(B429,[1]Sheet1!$A:$B,2,0)</f>
        <v>#N/A</v>
      </c>
      <c r="D429" s="40"/>
      <c r="E429" s="40"/>
      <c r="F429" s="40"/>
      <c r="G429" s="40"/>
      <c r="H429" s="40"/>
      <c r="I429" s="40"/>
      <c r="J429" s="57"/>
      <c r="K429" s="89"/>
      <c r="L429" s="66"/>
      <c r="M429" s="68"/>
      <c r="N429" s="68"/>
      <c r="O429" s="68"/>
      <c r="P429" s="68">
        <f t="shared" si="304"/>
        <v>0</v>
      </c>
      <c r="Q429" s="100"/>
      <c r="R429" s="104">
        <f t="shared" ref="R429:R439" si="305">Q429*M429</f>
        <v>0</v>
      </c>
      <c r="S429" s="77"/>
      <c r="T429" s="77"/>
      <c r="U429" s="78"/>
      <c r="V429" s="78">
        <f t="shared" si="301"/>
        <v>0</v>
      </c>
      <c r="W429" s="40"/>
      <c r="X429" s="129"/>
      <c r="Y429" s="79"/>
      <c r="Z429" s="79"/>
      <c r="AA429" s="79"/>
      <c r="AB429" s="80"/>
      <c r="AC429" s="78">
        <f t="shared" si="303"/>
        <v>0</v>
      </c>
      <c r="AD429" s="83"/>
      <c r="AE429" s="77">
        <f t="shared" si="302"/>
        <v>0</v>
      </c>
      <c r="AF429" s="40"/>
    </row>
    <row r="430" spans="2:32" s="43" customFormat="1" hidden="1">
      <c r="B430" s="17"/>
      <c r="C430" s="40" t="e">
        <f>VLOOKUP(B430,[1]Sheet1!$A:$B,2,0)</f>
        <v>#N/A</v>
      </c>
      <c r="D430" s="40"/>
      <c r="E430" s="40"/>
      <c r="F430" s="40"/>
      <c r="G430" s="40"/>
      <c r="H430" s="40"/>
      <c r="I430" s="40"/>
      <c r="J430" s="57"/>
      <c r="K430" s="89"/>
      <c r="L430" s="66"/>
      <c r="M430" s="68"/>
      <c r="N430" s="68"/>
      <c r="O430" s="68"/>
      <c r="P430" s="68">
        <f t="shared" si="304"/>
        <v>0</v>
      </c>
      <c r="Q430" s="100"/>
      <c r="R430" s="104">
        <f t="shared" si="305"/>
        <v>0</v>
      </c>
      <c r="S430" s="77"/>
      <c r="T430" s="77"/>
      <c r="U430" s="78"/>
      <c r="V430" s="78">
        <f t="shared" si="301"/>
        <v>0</v>
      </c>
      <c r="W430" s="40"/>
      <c r="X430" s="129"/>
      <c r="Y430" s="79"/>
      <c r="Z430" s="79"/>
      <c r="AA430" s="79"/>
      <c r="AB430" s="80"/>
      <c r="AC430" s="78">
        <f t="shared" si="303"/>
        <v>0</v>
      </c>
      <c r="AD430" s="83"/>
      <c r="AE430" s="77">
        <f t="shared" si="302"/>
        <v>0</v>
      </c>
      <c r="AF430" s="40"/>
    </row>
    <row r="431" spans="2:32" s="43" customFormat="1" hidden="1">
      <c r="B431" s="17"/>
      <c r="C431" s="40" t="e">
        <f>VLOOKUP(B431,[1]Sheet1!$A:$B,2,0)</f>
        <v>#N/A</v>
      </c>
      <c r="D431" s="40"/>
      <c r="E431" s="40"/>
      <c r="F431" s="40"/>
      <c r="G431" s="40"/>
      <c r="H431" s="40"/>
      <c r="I431" s="40"/>
      <c r="J431" s="57"/>
      <c r="K431" s="89"/>
      <c r="L431" s="66"/>
      <c r="M431" s="68"/>
      <c r="N431" s="68"/>
      <c r="O431" s="68"/>
      <c r="P431" s="68">
        <f t="shared" si="304"/>
        <v>0</v>
      </c>
      <c r="Q431" s="100"/>
      <c r="R431" s="104">
        <f t="shared" si="305"/>
        <v>0</v>
      </c>
      <c r="S431" s="77"/>
      <c r="T431" s="77"/>
      <c r="U431" s="78"/>
      <c r="V431" s="78">
        <f t="shared" si="301"/>
        <v>0</v>
      </c>
      <c r="W431" s="40"/>
      <c r="X431" s="129"/>
      <c r="Y431" s="79"/>
      <c r="Z431" s="79"/>
      <c r="AA431" s="79"/>
      <c r="AB431" s="80"/>
      <c r="AC431" s="78">
        <f t="shared" si="303"/>
        <v>0</v>
      </c>
      <c r="AD431" s="83"/>
      <c r="AE431" s="77">
        <f t="shared" si="302"/>
        <v>0</v>
      </c>
      <c r="AF431" s="40"/>
    </row>
    <row r="432" spans="2:32" s="43" customFormat="1" hidden="1">
      <c r="B432" s="17"/>
      <c r="C432" s="40" t="e">
        <f>VLOOKUP(B432,[1]Sheet1!$A:$B,2,0)</f>
        <v>#N/A</v>
      </c>
      <c r="D432" s="40"/>
      <c r="E432" s="40"/>
      <c r="F432" s="40"/>
      <c r="G432" s="40"/>
      <c r="H432" s="40"/>
      <c r="I432" s="40"/>
      <c r="J432" s="57"/>
      <c r="K432" s="89"/>
      <c r="L432" s="66"/>
      <c r="M432" s="68"/>
      <c r="N432" s="68"/>
      <c r="O432" s="68"/>
      <c r="P432" s="68">
        <f t="shared" si="304"/>
        <v>0</v>
      </c>
      <c r="Q432" s="100"/>
      <c r="R432" s="104">
        <f t="shared" si="305"/>
        <v>0</v>
      </c>
      <c r="S432" s="77"/>
      <c r="T432" s="77"/>
      <c r="U432" s="78"/>
      <c r="V432" s="78">
        <f t="shared" si="301"/>
        <v>0</v>
      </c>
      <c r="W432" s="40"/>
      <c r="X432" s="129"/>
      <c r="Y432" s="79"/>
      <c r="Z432" s="79"/>
      <c r="AA432" s="79"/>
      <c r="AB432" s="80"/>
      <c r="AC432" s="78">
        <f t="shared" si="303"/>
        <v>0</v>
      </c>
      <c r="AD432" s="83"/>
      <c r="AE432" s="77">
        <f t="shared" si="302"/>
        <v>0</v>
      </c>
      <c r="AF432" s="40"/>
    </row>
    <row r="433" spans="2:32" s="43" customFormat="1" hidden="1">
      <c r="B433" s="17"/>
      <c r="C433" s="40" t="e">
        <f>VLOOKUP(B433,[1]Sheet1!$A:$B,2,0)</f>
        <v>#N/A</v>
      </c>
      <c r="D433" s="40"/>
      <c r="E433" s="40"/>
      <c r="F433" s="40"/>
      <c r="G433" s="40"/>
      <c r="H433" s="40"/>
      <c r="I433" s="40"/>
      <c r="J433" s="57"/>
      <c r="K433" s="89"/>
      <c r="L433" s="66"/>
      <c r="M433" s="68"/>
      <c r="N433" s="68"/>
      <c r="O433" s="68"/>
      <c r="P433" s="68">
        <f t="shared" si="304"/>
        <v>0</v>
      </c>
      <c r="Q433" s="100"/>
      <c r="R433" s="104">
        <f t="shared" si="305"/>
        <v>0</v>
      </c>
      <c r="S433" s="77"/>
      <c r="T433" s="77"/>
      <c r="U433" s="78"/>
      <c r="V433" s="78">
        <f t="shared" si="301"/>
        <v>0</v>
      </c>
      <c r="W433" s="40"/>
      <c r="X433" s="129"/>
      <c r="Y433" s="79"/>
      <c r="Z433" s="79"/>
      <c r="AA433" s="79"/>
      <c r="AB433" s="80"/>
      <c r="AC433" s="78">
        <f t="shared" si="303"/>
        <v>0</v>
      </c>
      <c r="AD433" s="83"/>
      <c r="AE433" s="77">
        <f t="shared" si="302"/>
        <v>0</v>
      </c>
      <c r="AF433" s="40"/>
    </row>
    <row r="434" spans="2:32" s="43" customFormat="1" hidden="1">
      <c r="B434" s="17"/>
      <c r="C434" s="40" t="e">
        <f>VLOOKUP(B434,[1]Sheet1!$A:$B,2,0)</f>
        <v>#N/A</v>
      </c>
      <c r="D434" s="40"/>
      <c r="E434" s="40"/>
      <c r="F434" s="40"/>
      <c r="G434" s="40"/>
      <c r="H434" s="40"/>
      <c r="I434" s="40"/>
      <c r="J434" s="57"/>
      <c r="K434" s="89"/>
      <c r="L434" s="66"/>
      <c r="M434" s="68"/>
      <c r="N434" s="68"/>
      <c r="O434" s="68"/>
      <c r="P434" s="68">
        <f t="shared" si="304"/>
        <v>0</v>
      </c>
      <c r="Q434" s="100"/>
      <c r="R434" s="104">
        <f t="shared" si="305"/>
        <v>0</v>
      </c>
      <c r="S434" s="77"/>
      <c r="T434" s="77"/>
      <c r="U434" s="78"/>
      <c r="V434" s="78">
        <f t="shared" si="301"/>
        <v>0</v>
      </c>
      <c r="W434" s="40"/>
      <c r="X434" s="129"/>
      <c r="Y434" s="79"/>
      <c r="Z434" s="79"/>
      <c r="AA434" s="79"/>
      <c r="AB434" s="80"/>
      <c r="AC434" s="78">
        <f t="shared" si="303"/>
        <v>0</v>
      </c>
      <c r="AD434" s="83"/>
      <c r="AE434" s="77">
        <f t="shared" si="302"/>
        <v>0</v>
      </c>
      <c r="AF434" s="40"/>
    </row>
    <row r="435" spans="2:32" s="43" customFormat="1" hidden="1">
      <c r="B435" s="17"/>
      <c r="C435" s="40" t="e">
        <f>VLOOKUP(B435,[1]Sheet1!$A:$B,2,0)</f>
        <v>#N/A</v>
      </c>
      <c r="D435" s="40"/>
      <c r="E435" s="40"/>
      <c r="F435" s="40"/>
      <c r="G435" s="40"/>
      <c r="H435" s="40"/>
      <c r="I435" s="40"/>
      <c r="J435" s="57"/>
      <c r="K435" s="89"/>
      <c r="L435" s="66"/>
      <c r="M435" s="68"/>
      <c r="N435" s="68"/>
      <c r="O435" s="68"/>
      <c r="P435" s="68">
        <f t="shared" si="304"/>
        <v>0</v>
      </c>
      <c r="Q435" s="100"/>
      <c r="R435" s="104">
        <f t="shared" si="305"/>
        <v>0</v>
      </c>
      <c r="S435" s="77"/>
      <c r="T435" s="77"/>
      <c r="U435" s="78"/>
      <c r="V435" s="78">
        <f t="shared" si="301"/>
        <v>0</v>
      </c>
      <c r="W435" s="40"/>
      <c r="X435" s="129"/>
      <c r="Y435" s="79"/>
      <c r="Z435" s="79"/>
      <c r="AA435" s="79"/>
      <c r="AB435" s="80"/>
      <c r="AC435" s="78">
        <f t="shared" si="303"/>
        <v>0</v>
      </c>
      <c r="AD435" s="83"/>
      <c r="AE435" s="77">
        <f t="shared" si="302"/>
        <v>0</v>
      </c>
      <c r="AF435" s="40"/>
    </row>
    <row r="436" spans="2:32" s="43" customFormat="1" hidden="1">
      <c r="B436" s="17"/>
      <c r="C436" s="40" t="e">
        <f>VLOOKUP(B436,[1]Sheet1!$A:$B,2,0)</f>
        <v>#N/A</v>
      </c>
      <c r="D436" s="40"/>
      <c r="E436" s="40"/>
      <c r="F436" s="40"/>
      <c r="G436" s="40"/>
      <c r="H436" s="40"/>
      <c r="I436" s="40"/>
      <c r="J436" s="57"/>
      <c r="K436" s="89"/>
      <c r="L436" s="66"/>
      <c r="M436" s="68"/>
      <c r="N436" s="68"/>
      <c r="O436" s="68"/>
      <c r="P436" s="68">
        <f t="shared" si="304"/>
        <v>0</v>
      </c>
      <c r="Q436" s="100"/>
      <c r="R436" s="104">
        <f t="shared" si="305"/>
        <v>0</v>
      </c>
      <c r="S436" s="77"/>
      <c r="T436" s="77"/>
      <c r="U436" s="78"/>
      <c r="V436" s="78">
        <f t="shared" si="301"/>
        <v>0</v>
      </c>
      <c r="W436" s="40"/>
      <c r="X436" s="129"/>
      <c r="Y436" s="79"/>
      <c r="Z436" s="79"/>
      <c r="AA436" s="79"/>
      <c r="AB436" s="80"/>
      <c r="AC436" s="78">
        <f t="shared" si="303"/>
        <v>0</v>
      </c>
      <c r="AD436" s="83"/>
      <c r="AE436" s="77">
        <f t="shared" si="302"/>
        <v>0</v>
      </c>
      <c r="AF436" s="40"/>
    </row>
    <row r="437" spans="2:32" s="43" customFormat="1" hidden="1">
      <c r="B437" s="17"/>
      <c r="C437" s="40" t="e">
        <f>VLOOKUP(B437,[1]Sheet1!$A:$B,2,0)</f>
        <v>#N/A</v>
      </c>
      <c r="D437" s="40"/>
      <c r="E437" s="40"/>
      <c r="F437" s="40"/>
      <c r="G437" s="40"/>
      <c r="H437" s="40"/>
      <c r="I437" s="40"/>
      <c r="J437" s="57"/>
      <c r="K437" s="89"/>
      <c r="L437" s="66"/>
      <c r="M437" s="68"/>
      <c r="N437" s="68"/>
      <c r="O437" s="68"/>
      <c r="P437" s="68">
        <f t="shared" si="304"/>
        <v>0</v>
      </c>
      <c r="Q437" s="100"/>
      <c r="R437" s="104">
        <f t="shared" si="305"/>
        <v>0</v>
      </c>
      <c r="S437" s="77"/>
      <c r="T437" s="77"/>
      <c r="U437" s="78"/>
      <c r="V437" s="78">
        <f t="shared" si="301"/>
        <v>0</v>
      </c>
      <c r="W437" s="40"/>
      <c r="X437" s="129"/>
      <c r="Y437" s="79"/>
      <c r="Z437" s="79"/>
      <c r="AA437" s="79"/>
      <c r="AB437" s="80"/>
      <c r="AC437" s="78">
        <f t="shared" si="303"/>
        <v>0</v>
      </c>
      <c r="AD437" s="83"/>
      <c r="AE437" s="77">
        <f t="shared" si="302"/>
        <v>0</v>
      </c>
      <c r="AF437" s="40"/>
    </row>
    <row r="438" spans="2:32" s="43" customFormat="1" hidden="1">
      <c r="B438" s="17"/>
      <c r="C438" s="40" t="e">
        <f>VLOOKUP(B438,[1]Sheet1!$A:$B,2,0)</f>
        <v>#N/A</v>
      </c>
      <c r="D438" s="40"/>
      <c r="E438" s="40"/>
      <c r="F438" s="40"/>
      <c r="G438" s="40"/>
      <c r="H438" s="40"/>
      <c r="I438" s="40"/>
      <c r="J438" s="57"/>
      <c r="K438" s="89"/>
      <c r="L438" s="66"/>
      <c r="M438" s="68"/>
      <c r="N438" s="68"/>
      <c r="O438" s="68"/>
      <c r="P438" s="68">
        <f t="shared" si="304"/>
        <v>0</v>
      </c>
      <c r="Q438" s="100"/>
      <c r="R438" s="104">
        <f t="shared" si="305"/>
        <v>0</v>
      </c>
      <c r="S438" s="77"/>
      <c r="T438" s="77"/>
      <c r="U438" s="78"/>
      <c r="V438" s="78">
        <f t="shared" si="301"/>
        <v>0</v>
      </c>
      <c r="W438" s="40"/>
      <c r="X438" s="129"/>
      <c r="Y438" s="79"/>
      <c r="Z438" s="79"/>
      <c r="AA438" s="79"/>
      <c r="AB438" s="80"/>
      <c r="AC438" s="78">
        <f t="shared" si="303"/>
        <v>0</v>
      </c>
      <c r="AD438" s="83"/>
      <c r="AE438" s="77">
        <f t="shared" si="302"/>
        <v>0</v>
      </c>
      <c r="AF438" s="40"/>
    </row>
    <row r="439" spans="2:32" s="43" customFormat="1" hidden="1">
      <c r="B439" s="17"/>
      <c r="C439" s="40" t="e">
        <f>VLOOKUP(B439,[1]Sheet1!$A:$B,2,0)</f>
        <v>#N/A</v>
      </c>
      <c r="D439" s="40"/>
      <c r="E439" s="40"/>
      <c r="F439" s="40"/>
      <c r="G439" s="40"/>
      <c r="H439" s="40"/>
      <c r="I439" s="40"/>
      <c r="J439" s="57"/>
      <c r="K439" s="89"/>
      <c r="L439" s="66"/>
      <c r="M439" s="68"/>
      <c r="N439" s="68"/>
      <c r="O439" s="68"/>
      <c r="P439" s="68">
        <f t="shared" si="304"/>
        <v>0</v>
      </c>
      <c r="Q439" s="100"/>
      <c r="R439" s="104">
        <f t="shared" si="305"/>
        <v>0</v>
      </c>
      <c r="S439" s="77"/>
      <c r="T439" s="77"/>
      <c r="U439" s="78"/>
      <c r="V439" s="78">
        <f t="shared" ref="V439" si="306">U439-O439*T439</f>
        <v>0</v>
      </c>
      <c r="W439" s="40"/>
      <c r="X439" s="129"/>
      <c r="Y439" s="79"/>
      <c r="Z439" s="79"/>
      <c r="AA439" s="79"/>
      <c r="AB439" s="80"/>
      <c r="AC439" s="78">
        <f t="shared" si="303"/>
        <v>0</v>
      </c>
      <c r="AD439" s="83"/>
      <c r="AE439" s="77">
        <f t="shared" si="302"/>
        <v>0</v>
      </c>
      <c r="AF439" s="40"/>
    </row>
    <row r="440" spans="2:32" hidden="1">
      <c r="C440" s="40" t="e">
        <f>VLOOKUP(B440,[1]Sheet1!$A:$B,2,0)</f>
        <v>#N/A</v>
      </c>
      <c r="K440" s="89"/>
      <c r="L440" s="66"/>
      <c r="P440" s="68">
        <f t="shared" si="304"/>
        <v>0</v>
      </c>
      <c r="Q440" s="101"/>
      <c r="R440" s="105"/>
      <c r="T440" s="47"/>
      <c r="U440" s="48"/>
      <c r="V440" s="48"/>
    </row>
    <row r="441" spans="2:32" hidden="1">
      <c r="C441" s="40" t="e">
        <f>VLOOKUP(B441,[1]Sheet1!$A:$B,2,0)</f>
        <v>#N/A</v>
      </c>
      <c r="K441" s="89"/>
      <c r="L441" s="66"/>
      <c r="P441" s="68">
        <f t="shared" si="304"/>
        <v>0</v>
      </c>
      <c r="Q441" s="101"/>
      <c r="R441" s="105"/>
      <c r="T441" s="47"/>
      <c r="U441" s="48"/>
      <c r="V441" s="48"/>
    </row>
  </sheetData>
  <sheetProtection selectLockedCells="1"/>
  <protectedRanges>
    <protectedRange sqref="B1" name="Range1_10_1"/>
    <protectedRange sqref="K4:K383" name="Range1_3"/>
  </protectedRanges>
  <autoFilter ref="A3:AF441" xr:uid="{00000000-0009-0000-0000-000000000000}">
    <filterColumn colId="8">
      <filters>
        <filter val="2025"/>
      </filters>
    </filterColumn>
    <filterColumn colId="9">
      <filters>
        <filter val="2"/>
      </filters>
    </filterColumn>
  </autoFilter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Sheet1!$A$2:$A$41</xm:f>
          </x14:formula1>
          <xm:sqref>B4:B439</xm:sqref>
        </x14:dataValidation>
        <x14:dataValidation type="list" allowBlank="1" showInputMessage="1" showErrorMessage="1" xr:uid="{00000000-0002-0000-0000-000001000000}">
          <x14:formula1>
            <xm:f>Sheet1!$I$3:$I$15</xm:f>
          </x14:formula1>
          <xm:sqref>I4:I439</xm:sqref>
        </x14:dataValidation>
        <x14:dataValidation type="list" allowBlank="1" showInputMessage="1" showErrorMessage="1" xr:uid="{00000000-0002-0000-0000-000003000000}">
          <x14:formula1>
            <xm:f>Sheet1!$C$3:$C$8</xm:f>
          </x14:formula1>
          <xm:sqref>H4:H439</xm:sqref>
        </x14:dataValidation>
        <x14:dataValidation type="list" allowBlank="1" showInputMessage="1" showErrorMessage="1" xr:uid="{0757368B-40EE-450A-909E-E75C8DF351FE}">
          <x14:formula1>
            <xm:f>Sheet1!$J$3:$J$14</xm:f>
          </x14:formula1>
          <xm:sqref>J4:J439</xm:sqref>
        </x14:dataValidation>
        <x14:dataValidation type="list" allowBlank="1" showInputMessage="1" showErrorMessage="1" xr:uid="{BF48EFBC-F914-4311-81A9-8F24DF2D5C33}">
          <x14:formula1>
            <xm:f>Sheet1!$H$3:$H$6</xm:f>
          </x14:formula1>
          <xm:sqref>AA4:AA439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473E-1684-4F14-877C-3E6C60503290}">
  <dimension ref="A1:W11"/>
  <sheetViews>
    <sheetView workbookViewId="0">
      <selection activeCell="Q14" sqref="Q14"/>
    </sheetView>
  </sheetViews>
  <sheetFormatPr defaultRowHeight="13.5"/>
  <cols>
    <col min="2" max="2" width="16.5" bestFit="1" customWidth="1"/>
    <col min="3" max="3" width="18" bestFit="1" customWidth="1"/>
    <col min="4" max="4" width="15" bestFit="1" customWidth="1"/>
    <col min="5" max="5" width="20" bestFit="1" customWidth="1"/>
    <col min="9" max="9" width="16.75" bestFit="1" customWidth="1"/>
    <col min="11" max="11" width="24.625" bestFit="1" customWidth="1"/>
    <col min="12" max="12" width="22.75" bestFit="1" customWidth="1"/>
    <col min="13" max="13" width="11.625" bestFit="1" customWidth="1"/>
    <col min="14" max="14" width="10.375" bestFit="1" customWidth="1"/>
    <col min="15" max="15" width="12.75" bestFit="1" customWidth="1"/>
    <col min="16" max="16" width="13.75" bestFit="1" customWidth="1"/>
    <col min="18" max="18" width="14.375" bestFit="1" customWidth="1"/>
    <col min="19" max="19" width="19.25" bestFit="1" customWidth="1"/>
    <col min="20" max="20" width="15.375" bestFit="1" customWidth="1"/>
    <col min="21" max="21" width="15.25" bestFit="1" customWidth="1"/>
    <col min="22" max="22" width="15.75" bestFit="1" customWidth="1"/>
  </cols>
  <sheetData>
    <row r="1" spans="1:23">
      <c r="A1" s="146" t="s">
        <v>120</v>
      </c>
    </row>
    <row r="3" spans="1:2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0</v>
      </c>
      <c r="G3" t="s">
        <v>1</v>
      </c>
      <c r="H3" t="s">
        <v>121</v>
      </c>
      <c r="I3" t="s">
        <v>27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48</v>
      </c>
      <c r="W3" t="s">
        <v>134</v>
      </c>
    </row>
    <row r="4" spans="1:23">
      <c r="A4" t="s">
        <v>6</v>
      </c>
      <c r="B4" t="s">
        <v>14</v>
      </c>
      <c r="C4" t="s">
        <v>85</v>
      </c>
      <c r="D4" t="s">
        <v>119</v>
      </c>
      <c r="E4" t="s">
        <v>114</v>
      </c>
      <c r="F4">
        <v>2024</v>
      </c>
      <c r="G4">
        <v>10</v>
      </c>
      <c r="H4" t="s">
        <v>135</v>
      </c>
      <c r="I4" s="145">
        <v>45610</v>
      </c>
      <c r="J4">
        <v>32</v>
      </c>
      <c r="K4">
        <v>3089786</v>
      </c>
      <c r="L4">
        <v>15448930</v>
      </c>
      <c r="M4">
        <v>1000000</v>
      </c>
      <c r="N4" t="s">
        <v>136</v>
      </c>
      <c r="O4" s="145">
        <v>45593</v>
      </c>
      <c r="P4">
        <v>828713.60000000009</v>
      </c>
      <c r="Q4">
        <v>5</v>
      </c>
      <c r="R4">
        <v>4143568</v>
      </c>
      <c r="S4" t="s">
        <v>137</v>
      </c>
      <c r="T4" t="s">
        <v>138</v>
      </c>
      <c r="U4" t="s">
        <v>139</v>
      </c>
      <c r="V4" t="s">
        <v>140</v>
      </c>
      <c r="W4" t="s">
        <v>141</v>
      </c>
    </row>
    <row r="5" spans="1:23">
      <c r="A5" t="s">
        <v>6</v>
      </c>
      <c r="B5" t="s">
        <v>14</v>
      </c>
      <c r="C5" t="s">
        <v>117</v>
      </c>
      <c r="D5" t="s">
        <v>118</v>
      </c>
      <c r="E5" t="s">
        <v>114</v>
      </c>
      <c r="F5">
        <v>2024</v>
      </c>
      <c r="G5">
        <v>10</v>
      </c>
      <c r="H5" t="s">
        <v>135</v>
      </c>
      <c r="I5" s="145">
        <v>45610</v>
      </c>
      <c r="J5">
        <v>32</v>
      </c>
      <c r="K5">
        <v>3075072</v>
      </c>
      <c r="L5">
        <v>18450432</v>
      </c>
      <c r="M5">
        <v>1000000</v>
      </c>
      <c r="N5" t="s">
        <v>136</v>
      </c>
      <c r="O5" s="145">
        <v>45593</v>
      </c>
      <c r="P5">
        <v>643864.65</v>
      </c>
      <c r="Q5">
        <v>6</v>
      </c>
      <c r="R5">
        <v>3863187.9000000004</v>
      </c>
      <c r="S5" t="s">
        <v>137</v>
      </c>
      <c r="T5" t="s">
        <v>138</v>
      </c>
      <c r="U5" t="s">
        <v>139</v>
      </c>
      <c r="V5" t="s">
        <v>140</v>
      </c>
      <c r="W5" t="s">
        <v>141</v>
      </c>
    </row>
    <row r="6" spans="1:23">
      <c r="A6" t="s">
        <v>6</v>
      </c>
      <c r="B6" t="s">
        <v>14</v>
      </c>
      <c r="C6" t="s">
        <v>88</v>
      </c>
      <c r="D6" t="s">
        <v>116</v>
      </c>
      <c r="E6" t="s">
        <v>114</v>
      </c>
      <c r="F6">
        <v>2024</v>
      </c>
      <c r="G6">
        <v>10</v>
      </c>
      <c r="H6" t="s">
        <v>135</v>
      </c>
      <c r="I6" s="145">
        <v>45610</v>
      </c>
      <c r="J6">
        <v>32</v>
      </c>
      <c r="K6">
        <v>3089786</v>
      </c>
      <c r="L6">
        <v>15448930</v>
      </c>
      <c r="M6">
        <v>1000000</v>
      </c>
      <c r="N6" t="s">
        <v>136</v>
      </c>
      <c r="O6" s="145">
        <v>45593</v>
      </c>
      <c r="P6">
        <v>828713.60000000009</v>
      </c>
      <c r="Q6">
        <v>5</v>
      </c>
      <c r="R6">
        <v>4143568.0000000005</v>
      </c>
      <c r="S6" t="s">
        <v>137</v>
      </c>
      <c r="T6" t="s">
        <v>138</v>
      </c>
      <c r="U6" t="s">
        <v>139</v>
      </c>
      <c r="V6" t="s">
        <v>140</v>
      </c>
      <c r="W6" t="s">
        <v>141</v>
      </c>
    </row>
    <row r="7" spans="1:23">
      <c r="A7" t="s">
        <v>6</v>
      </c>
      <c r="B7" t="s">
        <v>14</v>
      </c>
      <c r="C7" t="s">
        <v>112</v>
      </c>
      <c r="D7" t="s">
        <v>113</v>
      </c>
      <c r="E7" t="s">
        <v>114</v>
      </c>
      <c r="F7">
        <v>2024</v>
      </c>
      <c r="G7">
        <v>10</v>
      </c>
      <c r="H7" t="s">
        <v>135</v>
      </c>
      <c r="I7" s="145">
        <v>45610</v>
      </c>
      <c r="J7">
        <v>16</v>
      </c>
      <c r="K7">
        <v>1241856</v>
      </c>
      <c r="L7">
        <v>16144128</v>
      </c>
      <c r="M7">
        <v>1000000</v>
      </c>
      <c r="N7" t="s">
        <v>136</v>
      </c>
      <c r="O7" s="145">
        <v>45593</v>
      </c>
      <c r="P7">
        <v>669240</v>
      </c>
      <c r="Q7">
        <v>13</v>
      </c>
      <c r="R7">
        <v>8700120</v>
      </c>
      <c r="S7" t="s">
        <v>137</v>
      </c>
      <c r="T7" t="s">
        <v>138</v>
      </c>
      <c r="U7" t="s">
        <v>139</v>
      </c>
      <c r="V7" t="s">
        <v>140</v>
      </c>
      <c r="W7" t="s">
        <v>141</v>
      </c>
    </row>
    <row r="8" spans="1:23">
      <c r="A8" t="s">
        <v>6</v>
      </c>
      <c r="B8" t="s">
        <v>14</v>
      </c>
      <c r="C8" t="s">
        <v>85</v>
      </c>
      <c r="D8" t="s">
        <v>119</v>
      </c>
      <c r="E8" t="s">
        <v>114</v>
      </c>
      <c r="F8">
        <v>2022</v>
      </c>
      <c r="G8">
        <v>6</v>
      </c>
      <c r="H8" t="s">
        <v>142</v>
      </c>
      <c r="I8" s="145">
        <v>45597</v>
      </c>
      <c r="J8">
        <v>32</v>
      </c>
      <c r="K8">
        <v>3089786</v>
      </c>
      <c r="L8">
        <v>21628502</v>
      </c>
      <c r="M8">
        <v>1000000</v>
      </c>
      <c r="N8" t="s">
        <v>136</v>
      </c>
      <c r="O8" s="145">
        <v>44727</v>
      </c>
      <c r="P8">
        <v>1358562.8679696072</v>
      </c>
      <c r="Q8">
        <v>7</v>
      </c>
      <c r="R8">
        <v>9509940.07578725</v>
      </c>
      <c r="S8" t="s">
        <v>137</v>
      </c>
      <c r="T8" t="s">
        <v>138</v>
      </c>
      <c r="U8" t="s">
        <v>139</v>
      </c>
      <c r="V8" t="s">
        <v>140</v>
      </c>
    </row>
    <row r="9" spans="1:23">
      <c r="A9" t="s">
        <v>6</v>
      </c>
      <c r="B9" t="s">
        <v>14</v>
      </c>
      <c r="C9" t="s">
        <v>117</v>
      </c>
      <c r="D9" t="s">
        <v>118</v>
      </c>
      <c r="E9" t="s">
        <v>114</v>
      </c>
      <c r="F9">
        <v>2022</v>
      </c>
      <c r="G9">
        <v>6</v>
      </c>
      <c r="H9" t="s">
        <v>142</v>
      </c>
      <c r="I9" s="145">
        <v>45597</v>
      </c>
      <c r="J9">
        <v>32</v>
      </c>
      <c r="K9">
        <v>3075072</v>
      </c>
      <c r="L9">
        <v>21525504</v>
      </c>
      <c r="M9">
        <v>1000000</v>
      </c>
      <c r="N9" t="s">
        <v>136</v>
      </c>
      <c r="O9" s="145">
        <v>44727</v>
      </c>
      <c r="P9">
        <v>748808.68131868378</v>
      </c>
      <c r="Q9">
        <v>7</v>
      </c>
      <c r="R9">
        <v>5241660.7692307867</v>
      </c>
      <c r="S9" t="s">
        <v>137</v>
      </c>
      <c r="T9" t="s">
        <v>138</v>
      </c>
      <c r="U9" t="s">
        <v>139</v>
      </c>
      <c r="V9" t="s">
        <v>140</v>
      </c>
    </row>
    <row r="10" spans="1:23">
      <c r="A10" t="s">
        <v>6</v>
      </c>
      <c r="B10" t="s">
        <v>14</v>
      </c>
      <c r="C10" t="s">
        <v>88</v>
      </c>
      <c r="D10" t="s">
        <v>116</v>
      </c>
      <c r="E10" t="s">
        <v>114</v>
      </c>
      <c r="F10">
        <v>2022</v>
      </c>
      <c r="G10">
        <v>6</v>
      </c>
      <c r="H10" t="s">
        <v>142</v>
      </c>
      <c r="I10" s="145">
        <v>45597</v>
      </c>
      <c r="J10">
        <v>32</v>
      </c>
      <c r="K10">
        <v>3089786</v>
      </c>
      <c r="L10">
        <v>21628502</v>
      </c>
      <c r="M10">
        <v>1000000</v>
      </c>
      <c r="N10" t="s">
        <v>136</v>
      </c>
      <c r="O10" s="145">
        <v>44727</v>
      </c>
      <c r="P10">
        <v>1374234.6733323566</v>
      </c>
      <c r="Q10">
        <v>7</v>
      </c>
      <c r="R10">
        <v>9619642.713326497</v>
      </c>
      <c r="S10" t="s">
        <v>137</v>
      </c>
      <c r="T10" t="s">
        <v>138</v>
      </c>
      <c r="U10" t="s">
        <v>139</v>
      </c>
      <c r="V10" t="s">
        <v>140</v>
      </c>
    </row>
    <row r="11" spans="1:23">
      <c r="A11" t="s">
        <v>6</v>
      </c>
      <c r="B11" t="s">
        <v>14</v>
      </c>
      <c r="C11" t="s">
        <v>112</v>
      </c>
      <c r="D11" t="s">
        <v>113</v>
      </c>
      <c r="E11" t="s">
        <v>114</v>
      </c>
      <c r="F11">
        <v>2022</v>
      </c>
      <c r="G11">
        <v>6</v>
      </c>
      <c r="H11" t="s">
        <v>142</v>
      </c>
      <c r="I11" s="145">
        <v>45597</v>
      </c>
      <c r="J11">
        <v>16</v>
      </c>
      <c r="K11">
        <v>1241856</v>
      </c>
      <c r="L11">
        <v>21111552</v>
      </c>
      <c r="M11">
        <v>1000000</v>
      </c>
      <c r="N11" t="s">
        <v>136</v>
      </c>
      <c r="O11" s="145">
        <v>44727</v>
      </c>
      <c r="P11">
        <v>1401456.1143433638</v>
      </c>
      <c r="Q11">
        <v>17</v>
      </c>
      <c r="R11">
        <v>23824753.943837184</v>
      </c>
      <c r="S11" t="s">
        <v>137</v>
      </c>
      <c r="T11" t="s">
        <v>138</v>
      </c>
      <c r="U11" t="s">
        <v>139</v>
      </c>
      <c r="V11" t="s">
        <v>140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5131-8192-4072-A241-77FB50F689B0}">
  <dimension ref="A1:B11"/>
  <sheetViews>
    <sheetView tabSelected="1" workbookViewId="0">
      <selection activeCell="F10" sqref="F10"/>
    </sheetView>
  </sheetViews>
  <sheetFormatPr defaultRowHeight="14.45"/>
  <cols>
    <col min="1" max="1" width="17.125" bestFit="1" customWidth="1"/>
    <col min="2" max="2" width="19.5" bestFit="1" customWidth="1"/>
  </cols>
  <sheetData>
    <row r="1" spans="1:2">
      <c r="A1" s="130" t="s">
        <v>126</v>
      </c>
      <c r="B1" t="s">
        <v>143</v>
      </c>
    </row>
    <row r="2" spans="1:2">
      <c r="A2" s="130" t="s">
        <v>133</v>
      </c>
      <c r="B2" t="s">
        <v>144</v>
      </c>
    </row>
    <row r="4" spans="1:2">
      <c r="A4" s="130" t="s">
        <v>2</v>
      </c>
      <c r="B4" t="s">
        <v>145</v>
      </c>
    </row>
    <row r="5" spans="1:2">
      <c r="A5" s="138" t="s">
        <v>6</v>
      </c>
      <c r="B5" s="139">
        <v>69046441.402181715</v>
      </c>
    </row>
    <row r="6" spans="1:2">
      <c r="A6" s="138" t="s">
        <v>7</v>
      </c>
      <c r="B6" s="139">
        <v>4690000</v>
      </c>
    </row>
    <row r="7" spans="1:2">
      <c r="A7" s="138" t="s">
        <v>8</v>
      </c>
      <c r="B7" s="139">
        <v>433247.67256637174</v>
      </c>
    </row>
    <row r="8" spans="1:2">
      <c r="A8" s="138" t="s">
        <v>9</v>
      </c>
      <c r="B8" s="139">
        <v>2002000</v>
      </c>
    </row>
    <row r="9" spans="1:2">
      <c r="A9" s="138" t="s">
        <v>10</v>
      </c>
      <c r="B9" s="139">
        <v>3111000</v>
      </c>
    </row>
    <row r="10" spans="1:2">
      <c r="A10" s="138" t="s">
        <v>11</v>
      </c>
      <c r="B10" s="139">
        <v>3283716.8141592923</v>
      </c>
    </row>
    <row r="11" spans="1:2">
      <c r="A11" s="138" t="s">
        <v>12</v>
      </c>
      <c r="B11" s="139">
        <v>82566405.888907373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167"/>
  <sheetViews>
    <sheetView topLeftCell="A4" zoomScale="62" zoomScaleNormal="62" workbookViewId="0">
      <selection activeCell="B5" sqref="B5"/>
    </sheetView>
  </sheetViews>
  <sheetFormatPr defaultColWidth="8.75" defaultRowHeight="14.45"/>
  <cols>
    <col min="1" max="1" width="11.75" style="4" customWidth="1"/>
    <col min="2" max="2" width="26.5" style="4" customWidth="1"/>
    <col min="3" max="3" width="16.5" style="4" customWidth="1"/>
    <col min="4" max="4" width="26.75" style="4" customWidth="1"/>
    <col min="5" max="5" width="16.5" style="4" customWidth="1"/>
    <col min="6" max="6" width="24.5" style="4" customWidth="1"/>
    <col min="7" max="9" width="16.5" style="5" customWidth="1"/>
    <col min="10" max="10" width="16.5" style="6" customWidth="1"/>
    <col min="11" max="11" width="13.5" style="7" customWidth="1"/>
    <col min="12" max="12" width="25.875" style="8" customWidth="1"/>
    <col min="13" max="13" width="23.75" style="8" customWidth="1"/>
    <col min="14" max="14" width="18.5" style="8" customWidth="1"/>
    <col min="15" max="15" width="16.5" style="5" customWidth="1"/>
    <col min="16" max="16" width="16.5" style="4" customWidth="1"/>
    <col min="17" max="17" width="16.5" style="9" customWidth="1"/>
    <col min="18" max="18" width="16.5" style="10" customWidth="1"/>
    <col min="19" max="19" width="16.5" style="9" customWidth="1"/>
    <col min="20" max="20" width="18.5" style="4" customWidth="1"/>
    <col min="21" max="23" width="16.5" style="4" customWidth="1"/>
    <col min="24" max="24" width="14.75" style="4" customWidth="1"/>
    <col min="25" max="16384" width="8.75" style="4"/>
  </cols>
  <sheetData>
    <row r="1" spans="2:24" ht="18.600000000000001">
      <c r="B1" s="11" t="s">
        <v>126</v>
      </c>
      <c r="C1" s="12" t="s">
        <v>146</v>
      </c>
      <c r="D1" s="12" t="s">
        <v>147</v>
      </c>
      <c r="E1" s="12" t="s">
        <v>136</v>
      </c>
      <c r="F1" s="12" t="s">
        <v>148</v>
      </c>
      <c r="G1" s="12"/>
    </row>
    <row r="2" spans="2:24" ht="18.600000000000001">
      <c r="B2" s="11" t="s">
        <v>13</v>
      </c>
      <c r="C2" s="12" t="s">
        <v>14</v>
      </c>
      <c r="D2" s="12" t="s">
        <v>15</v>
      </c>
      <c r="E2" s="12" t="s">
        <v>16</v>
      </c>
      <c r="F2" s="12" t="s">
        <v>17</v>
      </c>
      <c r="G2" s="12" t="s">
        <v>18</v>
      </c>
    </row>
    <row r="3" spans="2:24">
      <c r="C3" s="13"/>
    </row>
    <row r="4" spans="2:24">
      <c r="J4" s="22"/>
      <c r="K4" s="23"/>
      <c r="L4" s="24"/>
      <c r="M4" s="24"/>
      <c r="N4" s="24"/>
    </row>
    <row r="5" spans="2:24" ht="21" customHeight="1">
      <c r="B5" s="14" t="s">
        <v>20</v>
      </c>
      <c r="C5" s="15" t="s">
        <v>21</v>
      </c>
      <c r="D5" s="14" t="s">
        <v>22</v>
      </c>
      <c r="E5" s="14" t="s">
        <v>23</v>
      </c>
      <c r="F5" s="14" t="s">
        <v>24</v>
      </c>
      <c r="G5" s="16" t="s">
        <v>0</v>
      </c>
      <c r="H5" s="16" t="s">
        <v>1</v>
      </c>
      <c r="I5" s="113" t="s">
        <v>121</v>
      </c>
      <c r="J5" s="25" t="s">
        <v>27</v>
      </c>
      <c r="K5" s="26" t="s">
        <v>122</v>
      </c>
      <c r="L5" s="27" t="s">
        <v>123</v>
      </c>
      <c r="M5" s="27" t="s">
        <v>124</v>
      </c>
      <c r="N5" s="27" t="s">
        <v>125</v>
      </c>
      <c r="O5" s="16" t="s">
        <v>126</v>
      </c>
      <c r="P5" s="14" t="s">
        <v>127</v>
      </c>
      <c r="Q5" s="28" t="s">
        <v>128</v>
      </c>
      <c r="R5" s="14" t="s">
        <v>129</v>
      </c>
      <c r="S5" s="28" t="s">
        <v>130</v>
      </c>
      <c r="T5" s="14" t="s">
        <v>131</v>
      </c>
      <c r="U5" s="14" t="s">
        <v>132</v>
      </c>
      <c r="V5" s="14" t="s">
        <v>133</v>
      </c>
      <c r="W5" s="14" t="s">
        <v>48</v>
      </c>
      <c r="X5" s="109" t="s">
        <v>134</v>
      </c>
    </row>
    <row r="6" spans="2:24" s="2" customFormat="1" ht="49.5" customHeight="1">
      <c r="B6" s="17" t="s">
        <v>10</v>
      </c>
      <c r="C6" s="17" t="str">
        <f>VLOOKUP(B6,[1]Sheet1!$A:$B,2,0)</f>
        <v>RCS DEVICE</v>
      </c>
      <c r="D6" s="17" t="s">
        <v>49</v>
      </c>
      <c r="E6" s="92" t="s">
        <v>50</v>
      </c>
      <c r="F6" s="17" t="s">
        <v>51</v>
      </c>
      <c r="G6" s="17">
        <v>2023</v>
      </c>
      <c r="H6" s="17">
        <v>12</v>
      </c>
      <c r="I6" s="17" t="s">
        <v>142</v>
      </c>
      <c r="J6" s="29">
        <v>45597</v>
      </c>
      <c r="K6" s="30">
        <v>16</v>
      </c>
      <c r="L6" s="31">
        <v>812968</v>
      </c>
      <c r="M6" s="31">
        <f>L6*R6</f>
        <v>812968</v>
      </c>
      <c r="N6" s="31">
        <v>1000000</v>
      </c>
      <c r="O6" s="17" t="s">
        <v>136</v>
      </c>
      <c r="P6" s="32">
        <v>45283</v>
      </c>
      <c r="Q6" s="33">
        <f>650000</f>
        <v>650000</v>
      </c>
      <c r="R6" s="37">
        <v>1</v>
      </c>
      <c r="S6" s="33">
        <f>Q6*R6</f>
        <v>650000</v>
      </c>
      <c r="T6" s="17" t="s">
        <v>137</v>
      </c>
      <c r="U6" s="17" t="s">
        <v>138</v>
      </c>
      <c r="V6" s="17" t="s">
        <v>139</v>
      </c>
      <c r="W6" s="17" t="s">
        <v>149</v>
      </c>
      <c r="X6" s="108" t="s">
        <v>141</v>
      </c>
    </row>
    <row r="7" spans="2:24" s="2" customFormat="1" ht="49.5" customHeight="1">
      <c r="B7" s="17" t="s">
        <v>10</v>
      </c>
      <c r="C7" s="17" t="str">
        <f>VLOOKUP(B7,[1]Sheet1!$A:$B,2,0)</f>
        <v>RCS DEVICE</v>
      </c>
      <c r="D7" s="17" t="s">
        <v>49</v>
      </c>
      <c r="E7" s="92" t="s">
        <v>50</v>
      </c>
      <c r="F7" s="17" t="s">
        <v>51</v>
      </c>
      <c r="G7" s="17">
        <v>2024</v>
      </c>
      <c r="H7" s="17">
        <v>4</v>
      </c>
      <c r="I7" s="17" t="s">
        <v>142</v>
      </c>
      <c r="J7" s="29">
        <v>45597</v>
      </c>
      <c r="K7" s="30">
        <v>8</v>
      </c>
      <c r="L7" s="34">
        <f>L6/2</f>
        <v>406484</v>
      </c>
      <c r="M7" s="31">
        <f t="shared" ref="M7:M70" si="0">L7*R7</f>
        <v>406484</v>
      </c>
      <c r="N7" s="31">
        <v>1000000</v>
      </c>
      <c r="O7" s="17" t="s">
        <v>136</v>
      </c>
      <c r="P7" s="32">
        <v>45390</v>
      </c>
      <c r="Q7" s="35">
        <v>450000</v>
      </c>
      <c r="R7" s="37">
        <v>1</v>
      </c>
      <c r="S7" s="33">
        <v>450000</v>
      </c>
      <c r="T7" s="17" t="s">
        <v>137</v>
      </c>
      <c r="U7" s="17" t="s">
        <v>138</v>
      </c>
      <c r="V7" s="17" t="s">
        <v>139</v>
      </c>
      <c r="W7" s="17" t="s">
        <v>150</v>
      </c>
      <c r="X7" s="108" t="s">
        <v>141</v>
      </c>
    </row>
    <row r="8" spans="2:24" s="2" customFormat="1" ht="49.5" hidden="1" customHeight="1">
      <c r="B8" s="17" t="s">
        <v>10</v>
      </c>
      <c r="C8" s="17" t="str">
        <f>VLOOKUP(B8,[1]Sheet1!$A:$B,2,0)</f>
        <v>RCS DEVICE</v>
      </c>
      <c r="D8" s="17" t="s">
        <v>49</v>
      </c>
      <c r="E8" s="92" t="s">
        <v>50</v>
      </c>
      <c r="F8" s="17" t="s">
        <v>51</v>
      </c>
      <c r="G8" s="17">
        <v>2023</v>
      </c>
      <c r="H8" s="17">
        <v>10</v>
      </c>
      <c r="I8" s="17" t="s">
        <v>142</v>
      </c>
      <c r="J8" s="29">
        <v>45597</v>
      </c>
      <c r="K8" s="30">
        <v>2</v>
      </c>
      <c r="L8" s="31"/>
      <c r="M8" s="31">
        <f t="shared" si="0"/>
        <v>0</v>
      </c>
      <c r="N8" s="31">
        <v>500000</v>
      </c>
      <c r="O8" s="17" t="s">
        <v>146</v>
      </c>
      <c r="P8" s="32">
        <v>45211</v>
      </c>
      <c r="Q8" s="33">
        <v>115044.24778761101</v>
      </c>
      <c r="R8" s="37">
        <v>1</v>
      </c>
      <c r="S8" s="33">
        <v>115044.24778761101</v>
      </c>
      <c r="T8" s="17" t="s">
        <v>137</v>
      </c>
      <c r="U8" s="17" t="s">
        <v>138</v>
      </c>
      <c r="V8" s="17" t="s">
        <v>139</v>
      </c>
      <c r="W8" s="17"/>
    </row>
    <row r="9" spans="2:24" s="2" customFormat="1" ht="49.5" hidden="1" customHeight="1">
      <c r="B9" s="17" t="s">
        <v>10</v>
      </c>
      <c r="C9" s="17" t="str">
        <f>VLOOKUP(B9,[1]Sheet1!$A:$B,2,0)</f>
        <v>RCS DEVICE</v>
      </c>
      <c r="D9" s="17" t="s">
        <v>49</v>
      </c>
      <c r="E9" s="92" t="s">
        <v>50</v>
      </c>
      <c r="F9" s="17" t="s">
        <v>51</v>
      </c>
      <c r="G9" s="17">
        <v>2023</v>
      </c>
      <c r="H9" s="17">
        <v>10</v>
      </c>
      <c r="I9" s="17" t="s">
        <v>142</v>
      </c>
      <c r="J9" s="29">
        <v>45597</v>
      </c>
      <c r="K9" s="30">
        <v>2</v>
      </c>
      <c r="L9" s="31"/>
      <c r="M9" s="31">
        <f t="shared" si="0"/>
        <v>0</v>
      </c>
      <c r="N9" s="31">
        <v>500000</v>
      </c>
      <c r="O9" s="17" t="s">
        <v>146</v>
      </c>
      <c r="P9" s="32">
        <v>45211</v>
      </c>
      <c r="Q9" s="33">
        <v>115044.24778761101</v>
      </c>
      <c r="R9" s="37">
        <v>1</v>
      </c>
      <c r="S9" s="33">
        <v>115044.24778761101</v>
      </c>
      <c r="T9" s="17" t="s">
        <v>137</v>
      </c>
      <c r="U9" s="17" t="s">
        <v>138</v>
      </c>
      <c r="V9" s="17" t="s">
        <v>139</v>
      </c>
      <c r="W9" s="17"/>
    </row>
    <row r="10" spans="2:24" s="2" customFormat="1" ht="49.5" hidden="1" customHeight="1">
      <c r="B10" s="17" t="s">
        <v>10</v>
      </c>
      <c r="C10" s="17" t="str">
        <f>VLOOKUP(B10,[1]Sheet1!$A:$B,2,0)</f>
        <v>RCS DEVICE</v>
      </c>
      <c r="D10" s="17" t="s">
        <v>49</v>
      </c>
      <c r="E10" s="92" t="s">
        <v>50</v>
      </c>
      <c r="F10" s="17" t="s">
        <v>51</v>
      </c>
      <c r="G10" s="17">
        <v>2023</v>
      </c>
      <c r="H10" s="17">
        <v>11</v>
      </c>
      <c r="I10" s="17" t="s">
        <v>142</v>
      </c>
      <c r="J10" s="29">
        <v>45597</v>
      </c>
      <c r="K10" s="30">
        <v>2</v>
      </c>
      <c r="L10" s="31"/>
      <c r="M10" s="31">
        <f t="shared" si="0"/>
        <v>0</v>
      </c>
      <c r="N10" s="31">
        <v>500000</v>
      </c>
      <c r="O10" s="17" t="s">
        <v>147</v>
      </c>
      <c r="P10" s="32">
        <v>45234</v>
      </c>
      <c r="Q10" s="33">
        <f>7400/1.13</f>
        <v>6548.6725663716825</v>
      </c>
      <c r="R10" s="37">
        <v>1</v>
      </c>
      <c r="S10" s="33">
        <f>7400/1.13</f>
        <v>6548.6725663716825</v>
      </c>
      <c r="T10" s="17" t="s">
        <v>137</v>
      </c>
      <c r="U10" s="17" t="s">
        <v>138</v>
      </c>
      <c r="V10" s="17" t="s">
        <v>139</v>
      </c>
      <c r="W10" s="17"/>
    </row>
    <row r="11" spans="2:24" s="2" customFormat="1" ht="49.5" hidden="1" customHeight="1">
      <c r="B11" s="17" t="s">
        <v>10</v>
      </c>
      <c r="C11" s="17" t="str">
        <f>VLOOKUP(B11,[1]Sheet1!$A:$B,2,0)</f>
        <v>RCS DEVICE</v>
      </c>
      <c r="D11" s="17" t="s">
        <v>49</v>
      </c>
      <c r="E11" s="92" t="s">
        <v>50</v>
      </c>
      <c r="F11" s="17" t="s">
        <v>51</v>
      </c>
      <c r="G11" s="17">
        <v>2023</v>
      </c>
      <c r="H11" s="17">
        <v>11</v>
      </c>
      <c r="I11" s="17" t="s">
        <v>142</v>
      </c>
      <c r="J11" s="29">
        <v>45597</v>
      </c>
      <c r="K11" s="30">
        <v>2</v>
      </c>
      <c r="L11" s="31"/>
      <c r="M11" s="31">
        <f t="shared" si="0"/>
        <v>0</v>
      </c>
      <c r="N11" s="31">
        <v>500000</v>
      </c>
      <c r="O11" s="17" t="s">
        <v>147</v>
      </c>
      <c r="P11" s="32">
        <v>45248</v>
      </c>
      <c r="Q11" s="33">
        <f>7100/1.13</f>
        <v>6283.1858407079653</v>
      </c>
      <c r="R11" s="37">
        <v>1</v>
      </c>
      <c r="S11" s="33">
        <f t="shared" ref="S11:S18" si="1">Q11*R11</f>
        <v>6283.1858407079653</v>
      </c>
      <c r="T11" s="17" t="s">
        <v>137</v>
      </c>
      <c r="U11" s="17" t="s">
        <v>138</v>
      </c>
      <c r="V11" s="17" t="s">
        <v>139</v>
      </c>
      <c r="W11" s="17"/>
    </row>
    <row r="12" spans="2:24" s="2" customFormat="1" ht="49.5" hidden="1" customHeight="1">
      <c r="B12" s="17" t="s">
        <v>10</v>
      </c>
      <c r="C12" s="17" t="str">
        <f>VLOOKUP(B12,[1]Sheet1!$A:$B,2,0)</f>
        <v>RCS DEVICE</v>
      </c>
      <c r="D12" s="17" t="s">
        <v>49</v>
      </c>
      <c r="E12" s="92" t="s">
        <v>50</v>
      </c>
      <c r="F12" s="17" t="s">
        <v>51</v>
      </c>
      <c r="G12" s="17">
        <v>2024</v>
      </c>
      <c r="H12" s="17">
        <v>2</v>
      </c>
      <c r="I12" s="17" t="s">
        <v>142</v>
      </c>
      <c r="J12" s="29">
        <v>45597</v>
      </c>
      <c r="K12" s="30">
        <v>2</v>
      </c>
      <c r="L12" s="31"/>
      <c r="M12" s="31">
        <f t="shared" si="0"/>
        <v>0</v>
      </c>
      <c r="N12" s="31">
        <v>500000</v>
      </c>
      <c r="O12" s="17" t="s">
        <v>147</v>
      </c>
      <c r="P12" s="32">
        <v>45348</v>
      </c>
      <c r="Q12" s="35">
        <f>46800/1.13</f>
        <v>41415.929203539825</v>
      </c>
      <c r="R12" s="37">
        <v>1</v>
      </c>
      <c r="S12" s="33">
        <f t="shared" si="1"/>
        <v>41415.929203539825</v>
      </c>
      <c r="T12" s="17" t="s">
        <v>137</v>
      </c>
      <c r="U12" s="17" t="s">
        <v>138</v>
      </c>
      <c r="V12" s="17" t="s">
        <v>139</v>
      </c>
      <c r="W12" s="17"/>
    </row>
    <row r="13" spans="2:24" s="2" customFormat="1" ht="49.5" hidden="1" customHeight="1">
      <c r="B13" s="17" t="s">
        <v>10</v>
      </c>
      <c r="C13" s="17" t="str">
        <f>VLOOKUP(B13,[1]Sheet1!$A:$B,2,0)</f>
        <v>RCS DEVICE</v>
      </c>
      <c r="D13" s="17" t="s">
        <v>49</v>
      </c>
      <c r="E13" s="92" t="s">
        <v>50</v>
      </c>
      <c r="F13" s="17" t="s">
        <v>51</v>
      </c>
      <c r="G13" s="17">
        <v>2024</v>
      </c>
      <c r="H13" s="17">
        <v>3</v>
      </c>
      <c r="I13" s="17" t="s">
        <v>142</v>
      </c>
      <c r="J13" s="29">
        <v>45597</v>
      </c>
      <c r="K13" s="30">
        <v>2</v>
      </c>
      <c r="L13" s="31"/>
      <c r="M13" s="31">
        <f t="shared" si="0"/>
        <v>0</v>
      </c>
      <c r="N13" s="31">
        <v>500000</v>
      </c>
      <c r="O13" s="17" t="s">
        <v>147</v>
      </c>
      <c r="P13" s="32">
        <v>45379</v>
      </c>
      <c r="Q13" s="35">
        <f>48000/1.13</f>
        <v>42477.876106194693</v>
      </c>
      <c r="R13" s="37">
        <v>1</v>
      </c>
      <c r="S13" s="33">
        <f t="shared" si="1"/>
        <v>42477.876106194693</v>
      </c>
      <c r="T13" s="17" t="s">
        <v>137</v>
      </c>
      <c r="U13" s="17" t="s">
        <v>138</v>
      </c>
      <c r="V13" s="17" t="s">
        <v>139</v>
      </c>
      <c r="W13" s="17"/>
    </row>
    <row r="14" spans="2:24" s="2" customFormat="1" ht="49.5" hidden="1" customHeight="1">
      <c r="B14" s="17" t="s">
        <v>10</v>
      </c>
      <c r="C14" s="17" t="str">
        <f>VLOOKUP(B14,[1]Sheet1!$A:$B,2,0)</f>
        <v>RCS DEVICE</v>
      </c>
      <c r="D14" s="17" t="s">
        <v>49</v>
      </c>
      <c r="E14" s="92" t="s">
        <v>50</v>
      </c>
      <c r="F14" s="17" t="s">
        <v>51</v>
      </c>
      <c r="G14" s="17">
        <v>2024</v>
      </c>
      <c r="H14" s="17">
        <v>7</v>
      </c>
      <c r="I14" s="17" t="s">
        <v>142</v>
      </c>
      <c r="J14" s="29">
        <v>45597</v>
      </c>
      <c r="K14" s="30">
        <v>2</v>
      </c>
      <c r="L14" s="31"/>
      <c r="M14" s="31">
        <f t="shared" si="0"/>
        <v>0</v>
      </c>
      <c r="N14" s="31">
        <v>500000</v>
      </c>
      <c r="O14" s="19" t="s">
        <v>147</v>
      </c>
      <c r="P14" s="32">
        <v>45499</v>
      </c>
      <c r="Q14" s="33">
        <f>42200/1.13</f>
        <v>37345.132743362832</v>
      </c>
      <c r="R14" s="37">
        <v>1</v>
      </c>
      <c r="S14" s="33">
        <f t="shared" si="1"/>
        <v>37345.132743362832</v>
      </c>
      <c r="T14" s="17" t="s">
        <v>137</v>
      </c>
      <c r="U14" s="17" t="s">
        <v>138</v>
      </c>
      <c r="V14" s="17" t="s">
        <v>139</v>
      </c>
      <c r="W14" s="17"/>
    </row>
    <row r="15" spans="2:24" s="2" customFormat="1" ht="49.5" hidden="1" customHeight="1">
      <c r="B15" s="17" t="s">
        <v>10</v>
      </c>
      <c r="C15" s="17" t="str">
        <f>VLOOKUP(B15,[1]Sheet1!$A:$B,2,0)</f>
        <v>RCS DEVICE</v>
      </c>
      <c r="D15" s="17" t="s">
        <v>49</v>
      </c>
      <c r="E15" s="92" t="s">
        <v>50</v>
      </c>
      <c r="F15" s="17" t="s">
        <v>51</v>
      </c>
      <c r="G15" s="17">
        <v>2024</v>
      </c>
      <c r="H15" s="17">
        <v>7</v>
      </c>
      <c r="I15" s="17" t="s">
        <v>142</v>
      </c>
      <c r="J15" s="29">
        <v>45597</v>
      </c>
      <c r="K15" s="30">
        <v>2</v>
      </c>
      <c r="L15" s="31"/>
      <c r="M15" s="31">
        <f t="shared" si="0"/>
        <v>0</v>
      </c>
      <c r="N15" s="31">
        <v>500000</v>
      </c>
      <c r="O15" s="19" t="s">
        <v>147</v>
      </c>
      <c r="P15" s="32">
        <v>45499</v>
      </c>
      <c r="Q15" s="33">
        <f>44500/1.13</f>
        <v>39380.530973451328</v>
      </c>
      <c r="R15" s="37">
        <v>1</v>
      </c>
      <c r="S15" s="33">
        <f t="shared" si="1"/>
        <v>39380.530973451328</v>
      </c>
      <c r="T15" s="17" t="s">
        <v>137</v>
      </c>
      <c r="U15" s="17" t="s">
        <v>138</v>
      </c>
      <c r="V15" s="17" t="s">
        <v>139</v>
      </c>
      <c r="W15" s="17"/>
    </row>
    <row r="16" spans="2:24" s="2" customFormat="1" ht="49.5" hidden="1" customHeight="1">
      <c r="B16" s="17" t="s">
        <v>10</v>
      </c>
      <c r="C16" s="17" t="s">
        <v>15</v>
      </c>
      <c r="D16" s="17" t="s">
        <v>49</v>
      </c>
      <c r="E16" s="92" t="s">
        <v>50</v>
      </c>
      <c r="F16" s="17" t="s">
        <v>51</v>
      </c>
      <c r="G16" s="17">
        <v>2024</v>
      </c>
      <c r="H16" s="17">
        <v>9</v>
      </c>
      <c r="I16" s="17" t="s">
        <v>142</v>
      </c>
      <c r="J16" s="29">
        <v>45597</v>
      </c>
      <c r="K16" s="30">
        <v>2</v>
      </c>
      <c r="L16" s="31"/>
      <c r="M16" s="31">
        <f t="shared" si="0"/>
        <v>0</v>
      </c>
      <c r="N16" s="31">
        <v>500000</v>
      </c>
      <c r="O16" s="19" t="s">
        <v>147</v>
      </c>
      <c r="P16" s="32">
        <v>45547</v>
      </c>
      <c r="Q16" s="33">
        <f>29210/1.13</f>
        <v>25849.557522123898</v>
      </c>
      <c r="R16" s="37">
        <v>1</v>
      </c>
      <c r="S16" s="33">
        <f t="shared" si="1"/>
        <v>25849.557522123898</v>
      </c>
      <c r="T16" s="17" t="s">
        <v>137</v>
      </c>
      <c r="U16" s="17" t="s">
        <v>138</v>
      </c>
      <c r="V16" s="17" t="s">
        <v>139</v>
      </c>
      <c r="W16" s="17"/>
    </row>
    <row r="17" spans="1:24" s="2" customFormat="1" ht="49.5" hidden="1" customHeight="1">
      <c r="B17" s="17" t="s">
        <v>10</v>
      </c>
      <c r="C17" s="17" t="s">
        <v>15</v>
      </c>
      <c r="D17" s="17" t="s">
        <v>49</v>
      </c>
      <c r="E17" s="92" t="s">
        <v>50</v>
      </c>
      <c r="F17" s="17" t="s">
        <v>51</v>
      </c>
      <c r="G17" s="17">
        <v>2024</v>
      </c>
      <c r="H17" s="17">
        <v>9</v>
      </c>
      <c r="I17" s="17" t="s">
        <v>142</v>
      </c>
      <c r="J17" s="29">
        <v>45597</v>
      </c>
      <c r="K17" s="30">
        <v>2</v>
      </c>
      <c r="L17" s="31"/>
      <c r="M17" s="31">
        <f t="shared" si="0"/>
        <v>0</v>
      </c>
      <c r="N17" s="31">
        <v>500000</v>
      </c>
      <c r="O17" s="19" t="s">
        <v>147</v>
      </c>
      <c r="P17" s="32">
        <v>45560</v>
      </c>
      <c r="Q17" s="33">
        <f>5200/1.13</f>
        <v>4601.7699115044252</v>
      </c>
      <c r="R17" s="37">
        <v>1</v>
      </c>
      <c r="S17" s="33">
        <f t="shared" si="1"/>
        <v>4601.7699115044252</v>
      </c>
      <c r="T17" s="17" t="s">
        <v>137</v>
      </c>
      <c r="U17" s="17" t="s">
        <v>138</v>
      </c>
      <c r="V17" s="17" t="s">
        <v>139</v>
      </c>
      <c r="W17" s="17"/>
    </row>
    <row r="18" spans="1:24" s="2" customFormat="1" ht="49.5" customHeight="1">
      <c r="B18" s="17" t="s">
        <v>10</v>
      </c>
      <c r="C18" s="17" t="str">
        <f>VLOOKUP(B18,[1]Sheet1!$A:$B,2,0)</f>
        <v>RCS DEVICE</v>
      </c>
      <c r="D18" s="17" t="s">
        <v>63</v>
      </c>
      <c r="E18" s="92" t="s">
        <v>64</v>
      </c>
      <c r="F18" s="17" t="s">
        <v>51</v>
      </c>
      <c r="G18" s="17">
        <v>2023</v>
      </c>
      <c r="H18" s="17">
        <v>12</v>
      </c>
      <c r="I18" s="17" t="s">
        <v>142</v>
      </c>
      <c r="J18" s="29">
        <v>45597</v>
      </c>
      <c r="K18" s="30">
        <v>16</v>
      </c>
      <c r="L18" s="31">
        <v>978432</v>
      </c>
      <c r="M18" s="31">
        <f t="shared" si="0"/>
        <v>978432</v>
      </c>
      <c r="N18" s="31">
        <v>1000000</v>
      </c>
      <c r="O18" s="19" t="s">
        <v>136</v>
      </c>
      <c r="P18" s="32">
        <v>45283</v>
      </c>
      <c r="Q18" s="33">
        <f>535000</f>
        <v>535000</v>
      </c>
      <c r="R18" s="37">
        <v>1</v>
      </c>
      <c r="S18" s="33">
        <f t="shared" si="1"/>
        <v>535000</v>
      </c>
      <c r="T18" s="17" t="s">
        <v>137</v>
      </c>
      <c r="U18" s="17" t="s">
        <v>138</v>
      </c>
      <c r="V18" s="17" t="s">
        <v>139</v>
      </c>
      <c r="W18" s="17" t="s">
        <v>149</v>
      </c>
      <c r="X18" s="110" t="s">
        <v>151</v>
      </c>
    </row>
    <row r="19" spans="1:24" s="2" customFormat="1" ht="49.5" customHeight="1">
      <c r="B19" s="17" t="s">
        <v>10</v>
      </c>
      <c r="C19" s="17" t="str">
        <f>VLOOKUP(B19,[1]Sheet1!$A:$B,2,0)</f>
        <v>RCS DEVICE</v>
      </c>
      <c r="D19" s="18" t="s">
        <v>63</v>
      </c>
      <c r="E19" s="92" t="s">
        <v>64</v>
      </c>
      <c r="F19" s="17" t="s">
        <v>51</v>
      </c>
      <c r="G19" s="17">
        <v>2024</v>
      </c>
      <c r="H19" s="17">
        <v>4</v>
      </c>
      <c r="I19" s="17" t="s">
        <v>142</v>
      </c>
      <c r="J19" s="29">
        <v>45597</v>
      </c>
      <c r="K19" s="30">
        <v>8</v>
      </c>
      <c r="L19" s="34">
        <f>L18/2</f>
        <v>489216</v>
      </c>
      <c r="M19" s="31">
        <f t="shared" si="0"/>
        <v>489216</v>
      </c>
      <c r="N19" s="31">
        <v>1000000</v>
      </c>
      <c r="O19" s="17" t="s">
        <v>136</v>
      </c>
      <c r="P19" s="32">
        <v>45390</v>
      </c>
      <c r="Q19" s="36">
        <v>350000</v>
      </c>
      <c r="R19" s="17">
        <v>1</v>
      </c>
      <c r="S19" s="33">
        <v>350000</v>
      </c>
      <c r="T19" s="17" t="s">
        <v>137</v>
      </c>
      <c r="U19" s="17" t="s">
        <v>138</v>
      </c>
      <c r="V19" s="17" t="s">
        <v>139</v>
      </c>
      <c r="W19" s="17" t="s">
        <v>150</v>
      </c>
      <c r="X19" s="110" t="s">
        <v>152</v>
      </c>
    </row>
    <row r="20" spans="1:24" s="2" customFormat="1" ht="49.5" hidden="1" customHeight="1">
      <c r="B20" s="17" t="s">
        <v>10</v>
      </c>
      <c r="C20" s="17" t="str">
        <f>VLOOKUP(B20,[1]Sheet1!$A:$B,2,0)</f>
        <v>RCS DEVICE</v>
      </c>
      <c r="D20" s="18" t="s">
        <v>63</v>
      </c>
      <c r="E20" s="92" t="s">
        <v>64</v>
      </c>
      <c r="F20" s="17" t="s">
        <v>51</v>
      </c>
      <c r="G20" s="17">
        <v>2023</v>
      </c>
      <c r="H20" s="17">
        <v>10</v>
      </c>
      <c r="I20" s="17" t="s">
        <v>142</v>
      </c>
      <c r="J20" s="29">
        <v>45597</v>
      </c>
      <c r="K20" s="30">
        <v>2</v>
      </c>
      <c r="L20" s="31"/>
      <c r="M20" s="31">
        <f t="shared" si="0"/>
        <v>0</v>
      </c>
      <c r="N20" s="31">
        <v>500000</v>
      </c>
      <c r="O20" s="17" t="s">
        <v>146</v>
      </c>
      <c r="P20" s="32">
        <v>45211</v>
      </c>
      <c r="Q20" s="36">
        <v>97345.132743362803</v>
      </c>
      <c r="R20" s="17">
        <v>1</v>
      </c>
      <c r="S20" s="33">
        <v>97345.132743362803</v>
      </c>
      <c r="T20" s="17" t="s">
        <v>137</v>
      </c>
      <c r="U20" s="17" t="s">
        <v>138</v>
      </c>
      <c r="V20" s="17" t="s">
        <v>139</v>
      </c>
      <c r="W20" s="17"/>
    </row>
    <row r="21" spans="1:24" s="2" customFormat="1" ht="49.5" hidden="1" customHeight="1">
      <c r="B21" s="17" t="s">
        <v>10</v>
      </c>
      <c r="C21" s="17" t="str">
        <f>VLOOKUP(B21,[1]Sheet1!$A:$B,2,0)</f>
        <v>RCS DEVICE</v>
      </c>
      <c r="D21" s="18" t="s">
        <v>63</v>
      </c>
      <c r="E21" s="92" t="s">
        <v>64</v>
      </c>
      <c r="F21" s="17" t="s">
        <v>51</v>
      </c>
      <c r="G21" s="17">
        <v>2023</v>
      </c>
      <c r="H21" s="17">
        <v>11</v>
      </c>
      <c r="I21" s="17" t="s">
        <v>142</v>
      </c>
      <c r="J21" s="29">
        <v>45597</v>
      </c>
      <c r="K21" s="30">
        <v>2</v>
      </c>
      <c r="L21" s="31"/>
      <c r="M21" s="31">
        <f t="shared" si="0"/>
        <v>0</v>
      </c>
      <c r="N21" s="31">
        <v>500000</v>
      </c>
      <c r="O21" s="17" t="s">
        <v>147</v>
      </c>
      <c r="P21" s="32">
        <v>45248</v>
      </c>
      <c r="Q21" s="36">
        <f>11000/1.13</f>
        <v>9734.5132743362847</v>
      </c>
      <c r="R21" s="17">
        <v>1</v>
      </c>
      <c r="S21" s="33">
        <f t="shared" ref="S21:S26" si="2">Q21*R21</f>
        <v>9734.5132743362847</v>
      </c>
      <c r="T21" s="17" t="s">
        <v>137</v>
      </c>
      <c r="U21" s="17" t="s">
        <v>138</v>
      </c>
      <c r="V21" s="17" t="s">
        <v>139</v>
      </c>
      <c r="W21" s="17"/>
    </row>
    <row r="22" spans="1:24" s="2" customFormat="1" ht="49.5" hidden="1" customHeight="1">
      <c r="B22" s="17" t="s">
        <v>10</v>
      </c>
      <c r="C22" s="17" t="str">
        <f>VLOOKUP(B22,[1]Sheet1!$A:$B,2,0)</f>
        <v>RCS DEVICE</v>
      </c>
      <c r="D22" s="18" t="s">
        <v>63</v>
      </c>
      <c r="E22" s="92" t="s">
        <v>64</v>
      </c>
      <c r="F22" s="17" t="s">
        <v>51</v>
      </c>
      <c r="G22" s="17">
        <v>2024</v>
      </c>
      <c r="H22" s="17">
        <v>1</v>
      </c>
      <c r="I22" s="17" t="s">
        <v>142</v>
      </c>
      <c r="J22" s="29">
        <v>45597</v>
      </c>
      <c r="K22" s="30">
        <v>2</v>
      </c>
      <c r="L22" s="31"/>
      <c r="M22" s="31">
        <f t="shared" si="0"/>
        <v>0</v>
      </c>
      <c r="N22" s="31">
        <v>500000</v>
      </c>
      <c r="O22" s="17" t="s">
        <v>147</v>
      </c>
      <c r="P22" s="32">
        <v>45295</v>
      </c>
      <c r="Q22" s="36">
        <f>5700/1.13</f>
        <v>5044.2477876106195</v>
      </c>
      <c r="R22" s="17">
        <v>1</v>
      </c>
      <c r="S22" s="33">
        <f t="shared" si="2"/>
        <v>5044.2477876106195</v>
      </c>
      <c r="T22" s="17" t="s">
        <v>137</v>
      </c>
      <c r="U22" s="17" t="s">
        <v>138</v>
      </c>
      <c r="V22" s="17" t="s">
        <v>139</v>
      </c>
      <c r="W22" s="17"/>
    </row>
    <row r="23" spans="1:24" s="2" customFormat="1" ht="49.5" hidden="1" customHeight="1">
      <c r="B23" s="17" t="s">
        <v>10</v>
      </c>
      <c r="C23" s="17" t="str">
        <f>VLOOKUP(B23,[1]Sheet1!$A:$B,2,0)</f>
        <v>RCS DEVICE</v>
      </c>
      <c r="D23" s="18" t="s">
        <v>63</v>
      </c>
      <c r="E23" s="92" t="s">
        <v>64</v>
      </c>
      <c r="F23" s="17" t="s">
        <v>51</v>
      </c>
      <c r="G23" s="17">
        <v>2024</v>
      </c>
      <c r="H23" s="17">
        <v>1</v>
      </c>
      <c r="I23" s="17" t="s">
        <v>142</v>
      </c>
      <c r="J23" s="29">
        <v>45597</v>
      </c>
      <c r="K23" s="30">
        <v>2</v>
      </c>
      <c r="L23" s="31"/>
      <c r="M23" s="31">
        <f t="shared" si="0"/>
        <v>0</v>
      </c>
      <c r="N23" s="31">
        <v>500000</v>
      </c>
      <c r="O23" s="17" t="s">
        <v>147</v>
      </c>
      <c r="P23" s="32">
        <v>45293</v>
      </c>
      <c r="Q23" s="36">
        <f>7300/1.13</f>
        <v>6460.1769911504434</v>
      </c>
      <c r="R23" s="17">
        <v>1</v>
      </c>
      <c r="S23" s="33">
        <f t="shared" si="2"/>
        <v>6460.1769911504434</v>
      </c>
      <c r="T23" s="17" t="s">
        <v>137</v>
      </c>
      <c r="U23" s="17" t="s">
        <v>138</v>
      </c>
      <c r="V23" s="17" t="s">
        <v>139</v>
      </c>
      <c r="W23" s="17"/>
    </row>
    <row r="24" spans="1:24" s="2" customFormat="1" ht="49.5" hidden="1" customHeight="1">
      <c r="B24" s="17" t="s">
        <v>10</v>
      </c>
      <c r="C24" s="17" t="str">
        <f>VLOOKUP(B24,[1]Sheet1!$A:$B,2,0)</f>
        <v>RCS DEVICE</v>
      </c>
      <c r="D24" s="18" t="s">
        <v>63</v>
      </c>
      <c r="E24" s="92" t="s">
        <v>64</v>
      </c>
      <c r="F24" s="17" t="s">
        <v>51</v>
      </c>
      <c r="G24" s="17">
        <v>2024</v>
      </c>
      <c r="H24" s="17">
        <v>1</v>
      </c>
      <c r="I24" s="17" t="s">
        <v>142</v>
      </c>
      <c r="J24" s="29">
        <v>45597</v>
      </c>
      <c r="K24" s="30">
        <v>2</v>
      </c>
      <c r="L24" s="31"/>
      <c r="M24" s="31">
        <f t="shared" si="0"/>
        <v>0</v>
      </c>
      <c r="N24" s="31">
        <v>500000</v>
      </c>
      <c r="O24" s="17" t="s">
        <v>147</v>
      </c>
      <c r="P24" s="32">
        <v>45390</v>
      </c>
      <c r="Q24" s="36">
        <f>28000/1.13</f>
        <v>24778.761061946905</v>
      </c>
      <c r="R24" s="17">
        <v>1</v>
      </c>
      <c r="S24" s="33">
        <f t="shared" si="2"/>
        <v>24778.761061946905</v>
      </c>
      <c r="T24" s="17" t="s">
        <v>137</v>
      </c>
      <c r="U24" s="17" t="s">
        <v>138</v>
      </c>
      <c r="V24" s="17" t="s">
        <v>139</v>
      </c>
      <c r="W24" s="17"/>
    </row>
    <row r="25" spans="1:24" s="2" customFormat="1" ht="49.5" customHeight="1">
      <c r="B25" s="19" t="s">
        <v>10</v>
      </c>
      <c r="C25" s="17" t="str">
        <f>VLOOKUP(B25,[1]Sheet1!$A:$B,2,0)</f>
        <v>RCS DEVICE</v>
      </c>
      <c r="D25" s="18" t="s">
        <v>66</v>
      </c>
      <c r="E25" s="92" t="s">
        <v>67</v>
      </c>
      <c r="F25" s="17" t="s">
        <v>51</v>
      </c>
      <c r="G25" s="17">
        <v>2023</v>
      </c>
      <c r="H25" s="17">
        <v>12</v>
      </c>
      <c r="I25" s="17" t="s">
        <v>142</v>
      </c>
      <c r="J25" s="29">
        <v>45597</v>
      </c>
      <c r="K25" s="30">
        <v>16</v>
      </c>
      <c r="L25" s="31">
        <v>1397760</v>
      </c>
      <c r="M25" s="31">
        <f t="shared" si="0"/>
        <v>1397760</v>
      </c>
      <c r="N25" s="31">
        <v>1000000</v>
      </c>
      <c r="O25" s="17" t="s">
        <v>136</v>
      </c>
      <c r="P25" s="32">
        <v>45283</v>
      </c>
      <c r="Q25" s="36">
        <f>250000</f>
        <v>250000</v>
      </c>
      <c r="R25" s="17">
        <v>1</v>
      </c>
      <c r="S25" s="33">
        <f t="shared" si="2"/>
        <v>250000</v>
      </c>
      <c r="T25" s="17" t="s">
        <v>137</v>
      </c>
      <c r="U25" s="17" t="s">
        <v>138</v>
      </c>
      <c r="V25" s="17" t="s">
        <v>139</v>
      </c>
      <c r="W25" s="17"/>
      <c r="X25" s="110" t="s">
        <v>151</v>
      </c>
    </row>
    <row r="26" spans="1:24" s="2" customFormat="1" ht="49.5" hidden="1" customHeight="1">
      <c r="B26" s="19" t="s">
        <v>10</v>
      </c>
      <c r="C26" s="17" t="str">
        <f>VLOOKUP(B26,[1]Sheet1!$A:$B,2,0)</f>
        <v>RCS DEVICE</v>
      </c>
      <c r="D26" s="20" t="s">
        <v>66</v>
      </c>
      <c r="E26" s="97" t="s">
        <v>153</v>
      </c>
      <c r="F26" s="19" t="s">
        <v>51</v>
      </c>
      <c r="G26" s="19">
        <v>2023</v>
      </c>
      <c r="H26" s="19">
        <v>12</v>
      </c>
      <c r="I26" s="17" t="s">
        <v>142</v>
      </c>
      <c r="J26" s="29">
        <v>45597</v>
      </c>
      <c r="K26" s="30" t="s">
        <v>154</v>
      </c>
      <c r="L26" s="31"/>
      <c r="M26" s="31">
        <f t="shared" si="0"/>
        <v>0</v>
      </c>
      <c r="N26" s="31">
        <v>500000</v>
      </c>
      <c r="O26" s="19" t="s">
        <v>147</v>
      </c>
      <c r="P26" s="32">
        <v>45262</v>
      </c>
      <c r="Q26" s="36">
        <f>4500/1.13</f>
        <v>3982.3008849557527</v>
      </c>
      <c r="R26" s="19">
        <v>1</v>
      </c>
      <c r="S26" s="35">
        <f t="shared" si="2"/>
        <v>3982.3008849557527</v>
      </c>
      <c r="T26" s="17" t="s">
        <v>137</v>
      </c>
      <c r="U26" s="19" t="s">
        <v>138</v>
      </c>
      <c r="V26" s="17" t="s">
        <v>139</v>
      </c>
      <c r="W26" s="19"/>
    </row>
    <row r="27" spans="1:24" s="3" customFormat="1" ht="49.5" hidden="1" customHeight="1">
      <c r="A27" s="2"/>
      <c r="B27" s="19" t="s">
        <v>10</v>
      </c>
      <c r="C27" s="17" t="str">
        <f>VLOOKUP(B27,[1]Sheet1!$A:$B,2,0)</f>
        <v>RCS DEVICE</v>
      </c>
      <c r="D27" s="20" t="s">
        <v>66</v>
      </c>
      <c r="E27" s="97" t="s">
        <v>155</v>
      </c>
      <c r="F27" s="19" t="s">
        <v>51</v>
      </c>
      <c r="G27" s="19">
        <v>2023</v>
      </c>
      <c r="H27" s="17">
        <v>10</v>
      </c>
      <c r="I27" s="17" t="s">
        <v>142</v>
      </c>
      <c r="J27" s="29">
        <v>45597</v>
      </c>
      <c r="K27" s="30" t="s">
        <v>154</v>
      </c>
      <c r="L27" s="31"/>
      <c r="M27" s="31">
        <f t="shared" si="0"/>
        <v>0</v>
      </c>
      <c r="N27" s="31">
        <v>500000</v>
      </c>
      <c r="O27" s="19" t="s">
        <v>146</v>
      </c>
      <c r="P27" s="32">
        <v>45211</v>
      </c>
      <c r="Q27" s="36">
        <v>69026.548672566394</v>
      </c>
      <c r="R27" s="19">
        <v>1</v>
      </c>
      <c r="S27" s="35">
        <v>69026.548672566394</v>
      </c>
      <c r="T27" s="17" t="s">
        <v>137</v>
      </c>
      <c r="U27" s="19" t="s">
        <v>138</v>
      </c>
      <c r="V27" s="17" t="s">
        <v>139</v>
      </c>
      <c r="W27" s="19" t="s">
        <v>156</v>
      </c>
    </row>
    <row r="28" spans="1:24" s="3" customFormat="1" ht="49.5" hidden="1" customHeight="1">
      <c r="A28" s="2"/>
      <c r="B28" s="19" t="s">
        <v>10</v>
      </c>
      <c r="C28" s="17" t="str">
        <f>VLOOKUP(B28,[1]Sheet1!$A:$B,2,0)</f>
        <v>RCS DEVICE</v>
      </c>
      <c r="D28" s="20" t="s">
        <v>66</v>
      </c>
      <c r="E28" s="97" t="s">
        <v>153</v>
      </c>
      <c r="F28" s="19" t="s">
        <v>51</v>
      </c>
      <c r="G28" s="19">
        <v>2023</v>
      </c>
      <c r="H28" s="17">
        <v>10</v>
      </c>
      <c r="I28" s="17" t="s">
        <v>142</v>
      </c>
      <c r="J28" s="29">
        <v>45597</v>
      </c>
      <c r="K28" s="30" t="s">
        <v>154</v>
      </c>
      <c r="L28" s="31"/>
      <c r="M28" s="31">
        <f t="shared" si="0"/>
        <v>0</v>
      </c>
      <c r="N28" s="31">
        <v>500000</v>
      </c>
      <c r="O28" s="19" t="s">
        <v>146</v>
      </c>
      <c r="P28" s="32">
        <v>45211</v>
      </c>
      <c r="Q28" s="36">
        <v>69026.548672566394</v>
      </c>
      <c r="R28" s="19">
        <v>1</v>
      </c>
      <c r="S28" s="35">
        <v>69026.548672566394</v>
      </c>
      <c r="T28" s="17" t="s">
        <v>137</v>
      </c>
      <c r="U28" s="19" t="s">
        <v>138</v>
      </c>
      <c r="V28" s="17" t="s">
        <v>139</v>
      </c>
      <c r="W28" s="19" t="s">
        <v>157</v>
      </c>
    </row>
    <row r="29" spans="1:24" s="2" customFormat="1" ht="49.5" customHeight="1">
      <c r="B29" s="19" t="s">
        <v>10</v>
      </c>
      <c r="C29" s="17" t="str">
        <f>VLOOKUP(B29,[1]Sheet1!$A:$B,2,0)</f>
        <v>RCS DEVICE</v>
      </c>
      <c r="D29" s="18" t="s">
        <v>68</v>
      </c>
      <c r="E29" s="92" t="s">
        <v>69</v>
      </c>
      <c r="F29" s="17" t="s">
        <v>51</v>
      </c>
      <c r="G29" s="17">
        <v>2023</v>
      </c>
      <c r="H29" s="17">
        <v>12</v>
      </c>
      <c r="I29" s="17" t="s">
        <v>142</v>
      </c>
      <c r="J29" s="29">
        <v>45597</v>
      </c>
      <c r="K29" s="30">
        <v>16</v>
      </c>
      <c r="L29" s="31">
        <v>1223040</v>
      </c>
      <c r="M29" s="31">
        <f t="shared" si="0"/>
        <v>1223040</v>
      </c>
      <c r="N29" s="31">
        <v>1000000</v>
      </c>
      <c r="O29" s="17" t="s">
        <v>136</v>
      </c>
      <c r="P29" s="32">
        <v>45283</v>
      </c>
      <c r="Q29" s="36">
        <f>432000</f>
        <v>432000</v>
      </c>
      <c r="R29" s="17">
        <v>1</v>
      </c>
      <c r="S29" s="33">
        <f>Q29*R29</f>
        <v>432000</v>
      </c>
      <c r="T29" s="17" t="s">
        <v>137</v>
      </c>
      <c r="U29" s="17" t="s">
        <v>138</v>
      </c>
      <c r="V29" s="17" t="s">
        <v>139</v>
      </c>
      <c r="W29" s="17"/>
      <c r="X29" s="110" t="s">
        <v>151</v>
      </c>
    </row>
    <row r="30" spans="1:24" s="2" customFormat="1" ht="49.5" hidden="1" customHeight="1">
      <c r="B30" s="17" t="s">
        <v>10</v>
      </c>
      <c r="C30" s="17" t="str">
        <f>VLOOKUP(B30,[1]Sheet1!$A:$B,2,0)</f>
        <v>RCS DEVICE</v>
      </c>
      <c r="D30" s="18" t="s">
        <v>68</v>
      </c>
      <c r="E30" s="92" t="s">
        <v>69</v>
      </c>
      <c r="F30" s="17" t="s">
        <v>51</v>
      </c>
      <c r="G30" s="17">
        <v>2023</v>
      </c>
      <c r="H30" s="17">
        <v>10</v>
      </c>
      <c r="I30" s="17" t="s">
        <v>142</v>
      </c>
      <c r="J30" s="29">
        <v>45597</v>
      </c>
      <c r="K30" s="30">
        <v>2</v>
      </c>
      <c r="L30" s="31"/>
      <c r="M30" s="31">
        <f t="shared" si="0"/>
        <v>0</v>
      </c>
      <c r="N30" s="31">
        <v>500000</v>
      </c>
      <c r="O30" s="17" t="s">
        <v>146</v>
      </c>
      <c r="P30" s="32">
        <v>45211</v>
      </c>
      <c r="Q30" s="36">
        <v>66371.681415929197</v>
      </c>
      <c r="R30" s="17">
        <v>1</v>
      </c>
      <c r="S30" s="33">
        <v>66371.681415929197</v>
      </c>
      <c r="T30" s="17" t="s">
        <v>137</v>
      </c>
      <c r="U30" s="17" t="s">
        <v>138</v>
      </c>
      <c r="V30" s="17" t="s">
        <v>139</v>
      </c>
      <c r="W30" s="17"/>
    </row>
    <row r="31" spans="1:24" s="2" customFormat="1" ht="49.5" hidden="1" customHeight="1">
      <c r="B31" s="17" t="s">
        <v>10</v>
      </c>
      <c r="C31" s="17" t="str">
        <f>VLOOKUP(B31,[1]Sheet1!$A:$B,2,0)</f>
        <v>RCS DEVICE</v>
      </c>
      <c r="D31" s="18" t="s">
        <v>68</v>
      </c>
      <c r="E31" s="92" t="s">
        <v>69</v>
      </c>
      <c r="F31" s="17" t="s">
        <v>51</v>
      </c>
      <c r="G31" s="17">
        <v>2023</v>
      </c>
      <c r="H31" s="17">
        <v>10</v>
      </c>
      <c r="I31" s="17" t="s">
        <v>142</v>
      </c>
      <c r="J31" s="29">
        <v>45597</v>
      </c>
      <c r="K31" s="30">
        <v>2</v>
      </c>
      <c r="L31" s="31"/>
      <c r="M31" s="31">
        <f t="shared" si="0"/>
        <v>0</v>
      </c>
      <c r="N31" s="31">
        <v>500000</v>
      </c>
      <c r="O31" s="17" t="s">
        <v>146</v>
      </c>
      <c r="P31" s="32">
        <v>45211</v>
      </c>
      <c r="Q31" s="36">
        <v>66371.681415929197</v>
      </c>
      <c r="R31" s="17">
        <v>1</v>
      </c>
      <c r="S31" s="33">
        <v>66371.681415929197</v>
      </c>
      <c r="T31" s="17" t="s">
        <v>137</v>
      </c>
      <c r="U31" s="17" t="s">
        <v>138</v>
      </c>
      <c r="V31" s="17" t="s">
        <v>139</v>
      </c>
      <c r="W31" s="17"/>
    </row>
    <row r="32" spans="1:24" s="2" customFormat="1" ht="12.95" hidden="1">
      <c r="B32" s="17" t="s">
        <v>10</v>
      </c>
      <c r="C32" s="17" t="str">
        <f>VLOOKUP(B32,[1]Sheet1!$A:$B,2,0)</f>
        <v>RCS DEVICE</v>
      </c>
      <c r="D32" s="18" t="s">
        <v>68</v>
      </c>
      <c r="E32" s="92" t="s">
        <v>69</v>
      </c>
      <c r="F32" s="17" t="s">
        <v>51</v>
      </c>
      <c r="G32" s="17">
        <v>2024</v>
      </c>
      <c r="H32" s="17">
        <v>9</v>
      </c>
      <c r="I32" s="17" t="s">
        <v>142</v>
      </c>
      <c r="J32" s="29">
        <v>45597</v>
      </c>
      <c r="K32" s="30">
        <v>2</v>
      </c>
      <c r="L32" s="31"/>
      <c r="M32" s="31">
        <f t="shared" si="0"/>
        <v>0</v>
      </c>
      <c r="N32" s="31">
        <v>500000</v>
      </c>
      <c r="O32" s="17" t="s">
        <v>147</v>
      </c>
      <c r="P32" s="32">
        <v>45547</v>
      </c>
      <c r="Q32" s="36">
        <f>21000/1.13</f>
        <v>18584.070796460179</v>
      </c>
      <c r="R32" s="17">
        <v>1</v>
      </c>
      <c r="S32" s="33">
        <f>Q32*R32</f>
        <v>18584.070796460179</v>
      </c>
      <c r="T32" s="17" t="s">
        <v>137</v>
      </c>
      <c r="U32" s="17" t="s">
        <v>138</v>
      </c>
      <c r="V32" s="17" t="s">
        <v>139</v>
      </c>
      <c r="W32" s="17"/>
    </row>
    <row r="33" spans="2:24" s="2" customFormat="1" ht="12.95">
      <c r="B33" s="17" t="s">
        <v>10</v>
      </c>
      <c r="C33" s="17" t="str">
        <f>VLOOKUP(B33,[1]Sheet1!$A:$B,2,0)</f>
        <v>RCS DEVICE</v>
      </c>
      <c r="D33" s="18" t="s">
        <v>73</v>
      </c>
      <c r="E33" s="92" t="s">
        <v>74</v>
      </c>
      <c r="F33" s="17" t="s">
        <v>51</v>
      </c>
      <c r="G33" s="17">
        <v>2023</v>
      </c>
      <c r="H33" s="17">
        <v>12</v>
      </c>
      <c r="I33" s="17" t="s">
        <v>142</v>
      </c>
      <c r="J33" s="29">
        <v>45597</v>
      </c>
      <c r="K33" s="30">
        <v>16</v>
      </c>
      <c r="L33" s="31">
        <v>1467648</v>
      </c>
      <c r="M33" s="31">
        <f t="shared" si="0"/>
        <v>1467648</v>
      </c>
      <c r="N33" s="31">
        <v>1000000</v>
      </c>
      <c r="O33" s="17" t="s">
        <v>136</v>
      </c>
      <c r="P33" s="32">
        <v>45283</v>
      </c>
      <c r="Q33" s="36">
        <f>225000</f>
        <v>225000</v>
      </c>
      <c r="R33" s="17">
        <v>1</v>
      </c>
      <c r="S33" s="33">
        <f>Q33*R33</f>
        <v>225000</v>
      </c>
      <c r="T33" s="17" t="s">
        <v>137</v>
      </c>
      <c r="U33" s="17" t="s">
        <v>138</v>
      </c>
      <c r="V33" s="17" t="s">
        <v>139</v>
      </c>
      <c r="W33" s="17"/>
      <c r="X33" s="110" t="s">
        <v>151</v>
      </c>
    </row>
    <row r="34" spans="2:24" s="2" customFormat="1" ht="12.95" hidden="1">
      <c r="B34" s="17" t="s">
        <v>10</v>
      </c>
      <c r="C34" s="17" t="str">
        <f>VLOOKUP(B34,[1]Sheet1!$A:$B,2,0)</f>
        <v>RCS DEVICE</v>
      </c>
      <c r="D34" s="18" t="s">
        <v>73</v>
      </c>
      <c r="E34" s="92" t="s">
        <v>74</v>
      </c>
      <c r="F34" s="17" t="s">
        <v>51</v>
      </c>
      <c r="G34" s="17">
        <v>2023</v>
      </c>
      <c r="H34" s="17">
        <v>10</v>
      </c>
      <c r="I34" s="17" t="s">
        <v>142</v>
      </c>
      <c r="J34" s="29">
        <v>45597</v>
      </c>
      <c r="K34" s="30">
        <v>2</v>
      </c>
      <c r="L34" s="31"/>
      <c r="M34" s="31">
        <f t="shared" si="0"/>
        <v>0</v>
      </c>
      <c r="N34" s="31">
        <v>500000</v>
      </c>
      <c r="O34" s="17" t="s">
        <v>146</v>
      </c>
      <c r="P34" s="32">
        <v>45211</v>
      </c>
      <c r="Q34" s="36">
        <v>60176.991150442504</v>
      </c>
      <c r="R34" s="17">
        <v>1</v>
      </c>
      <c r="S34" s="33">
        <v>60176.991150442504</v>
      </c>
      <c r="T34" s="17" t="s">
        <v>137</v>
      </c>
      <c r="U34" s="17" t="s">
        <v>138</v>
      </c>
      <c r="V34" s="17" t="s">
        <v>139</v>
      </c>
      <c r="W34" s="17"/>
    </row>
    <row r="35" spans="2:24" s="2" customFormat="1" ht="12.95" hidden="1">
      <c r="B35" s="17" t="s">
        <v>10</v>
      </c>
      <c r="C35" s="17" t="str">
        <f>VLOOKUP(B35,[1]Sheet1!$A:$B,2,0)</f>
        <v>RCS DEVICE</v>
      </c>
      <c r="D35" s="18" t="s">
        <v>73</v>
      </c>
      <c r="E35" s="92" t="s">
        <v>74</v>
      </c>
      <c r="F35" s="17" t="s">
        <v>51</v>
      </c>
      <c r="G35" s="17">
        <v>2023</v>
      </c>
      <c r="H35" s="17">
        <v>12</v>
      </c>
      <c r="I35" s="17" t="s">
        <v>142</v>
      </c>
      <c r="J35" s="29">
        <v>45597</v>
      </c>
      <c r="K35" s="30">
        <v>2</v>
      </c>
      <c r="L35" s="31"/>
      <c r="M35" s="31">
        <f t="shared" si="0"/>
        <v>0</v>
      </c>
      <c r="N35" s="31">
        <v>500000</v>
      </c>
      <c r="O35" s="17" t="s">
        <v>147</v>
      </c>
      <c r="P35" s="32">
        <v>45274</v>
      </c>
      <c r="Q35" s="36">
        <f>4500/1.13</f>
        <v>3982.3008849557527</v>
      </c>
      <c r="R35" s="17">
        <v>1</v>
      </c>
      <c r="S35" s="33">
        <f>Q35*R35</f>
        <v>3982.3008849557527</v>
      </c>
      <c r="T35" s="17" t="s">
        <v>137</v>
      </c>
      <c r="U35" s="17" t="s">
        <v>138</v>
      </c>
      <c r="V35" s="17" t="s">
        <v>139</v>
      </c>
      <c r="W35" s="17"/>
    </row>
    <row r="36" spans="2:24" s="2" customFormat="1" ht="12.95" hidden="1">
      <c r="B36" s="19" t="s">
        <v>10</v>
      </c>
      <c r="C36" s="17" t="str">
        <f>VLOOKUP(B36,[1]Sheet1!$A:$B,2,0)</f>
        <v>RCS DEVICE</v>
      </c>
      <c r="D36" s="20" t="s">
        <v>73</v>
      </c>
      <c r="E36" s="93" t="s">
        <v>74</v>
      </c>
      <c r="F36" s="19" t="s">
        <v>51</v>
      </c>
      <c r="G36" s="19">
        <v>2023</v>
      </c>
      <c r="H36" s="19">
        <v>12</v>
      </c>
      <c r="I36" s="17" t="s">
        <v>142</v>
      </c>
      <c r="J36" s="29">
        <v>45597</v>
      </c>
      <c r="K36" s="30">
        <v>2</v>
      </c>
      <c r="L36" s="31"/>
      <c r="M36" s="31">
        <f t="shared" si="0"/>
        <v>0</v>
      </c>
      <c r="N36" s="31">
        <v>500000</v>
      </c>
      <c r="O36" s="19" t="s">
        <v>147</v>
      </c>
      <c r="P36" s="32">
        <v>45275</v>
      </c>
      <c r="Q36" s="36">
        <f>4600/1.13</f>
        <v>4070.7964601769913</v>
      </c>
      <c r="R36" s="19">
        <v>1</v>
      </c>
      <c r="S36" s="33">
        <f>Q36*R36</f>
        <v>4070.7964601769913</v>
      </c>
      <c r="T36" s="17" t="s">
        <v>137</v>
      </c>
      <c r="U36" s="17" t="s">
        <v>138</v>
      </c>
      <c r="V36" s="17" t="s">
        <v>139</v>
      </c>
      <c r="W36" s="17"/>
    </row>
    <row r="37" spans="2:24" s="2" customFormat="1" ht="49.5" customHeight="1">
      <c r="B37" s="19" t="s">
        <v>8</v>
      </c>
      <c r="C37" s="17" t="str">
        <f>VLOOKUP(B37,[1]Sheet1!$A:$B,2,0)</f>
        <v>MODI</v>
      </c>
      <c r="D37" s="20" t="s">
        <v>76</v>
      </c>
      <c r="E37" s="93" t="s">
        <v>77</v>
      </c>
      <c r="F37" s="19" t="s">
        <v>51</v>
      </c>
      <c r="G37" s="19">
        <v>2024</v>
      </c>
      <c r="H37" s="19">
        <v>5</v>
      </c>
      <c r="I37" s="17" t="s">
        <v>142</v>
      </c>
      <c r="J37" s="29">
        <v>45597</v>
      </c>
      <c r="K37" s="30">
        <v>8</v>
      </c>
      <c r="L37" s="31">
        <v>406484</v>
      </c>
      <c r="M37" s="31">
        <f t="shared" si="0"/>
        <v>406484</v>
      </c>
      <c r="N37" s="31">
        <v>1000000</v>
      </c>
      <c r="O37" s="19" t="s">
        <v>136</v>
      </c>
      <c r="P37" s="32">
        <v>45417</v>
      </c>
      <c r="Q37" s="36">
        <v>378000</v>
      </c>
      <c r="R37" s="19">
        <v>1</v>
      </c>
      <c r="S37" s="33">
        <v>378000</v>
      </c>
      <c r="T37" s="17" t="s">
        <v>137</v>
      </c>
      <c r="U37" s="17" t="s">
        <v>138</v>
      </c>
      <c r="V37" s="17" t="s">
        <v>139</v>
      </c>
      <c r="W37" s="17"/>
      <c r="X37" s="110" t="s">
        <v>158</v>
      </c>
    </row>
    <row r="38" spans="2:24" s="3" customFormat="1" ht="49.5" hidden="1" customHeight="1">
      <c r="B38" s="19" t="s">
        <v>8</v>
      </c>
      <c r="C38" s="17" t="str">
        <f>VLOOKUP(B38,[1]Sheet1!$A:$B,2,0)</f>
        <v>MODI</v>
      </c>
      <c r="D38" s="20" t="s">
        <v>76</v>
      </c>
      <c r="E38" s="93" t="s">
        <v>77</v>
      </c>
      <c r="F38" s="19" t="s">
        <v>51</v>
      </c>
      <c r="G38" s="19">
        <v>2024</v>
      </c>
      <c r="H38" s="17">
        <v>1</v>
      </c>
      <c r="I38" s="17" t="s">
        <v>142</v>
      </c>
      <c r="J38" s="29">
        <v>45597</v>
      </c>
      <c r="K38" s="30">
        <v>2</v>
      </c>
      <c r="L38" s="31"/>
      <c r="M38" s="31">
        <f t="shared" si="0"/>
        <v>0</v>
      </c>
      <c r="N38" s="31">
        <v>500000</v>
      </c>
      <c r="O38" s="19" t="s">
        <v>146</v>
      </c>
      <c r="P38" s="32">
        <v>45301</v>
      </c>
      <c r="Q38" s="36">
        <v>120000</v>
      </c>
      <c r="R38" s="19">
        <v>1</v>
      </c>
      <c r="S38" s="35">
        <v>120000</v>
      </c>
      <c r="T38" s="19" t="s">
        <v>137</v>
      </c>
      <c r="U38" s="19" t="s">
        <v>138</v>
      </c>
      <c r="V38" s="19" t="s">
        <v>139</v>
      </c>
      <c r="W38" s="38"/>
      <c r="X38" s="110" t="s">
        <v>158</v>
      </c>
    </row>
    <row r="39" spans="2:24" s="2" customFormat="1" ht="49.5" hidden="1" customHeight="1">
      <c r="B39" s="19" t="s">
        <v>8</v>
      </c>
      <c r="C39" s="17" t="str">
        <f>VLOOKUP(B39,[1]Sheet1!$A:$B,2,0)</f>
        <v>MODI</v>
      </c>
      <c r="D39" s="20" t="s">
        <v>76</v>
      </c>
      <c r="E39" s="93" t="s">
        <v>77</v>
      </c>
      <c r="F39" s="19" t="s">
        <v>51</v>
      </c>
      <c r="G39" s="19">
        <v>2023</v>
      </c>
      <c r="H39" s="17">
        <v>11</v>
      </c>
      <c r="I39" s="17" t="s">
        <v>142</v>
      </c>
      <c r="J39" s="29">
        <v>45597</v>
      </c>
      <c r="K39" s="30">
        <v>2</v>
      </c>
      <c r="L39" s="31"/>
      <c r="M39" s="31">
        <f t="shared" si="0"/>
        <v>0</v>
      </c>
      <c r="N39" s="31">
        <v>500000</v>
      </c>
      <c r="O39" s="19" t="s">
        <v>146</v>
      </c>
      <c r="P39" s="32">
        <v>45244</v>
      </c>
      <c r="Q39" s="36">
        <v>57522.123893805299</v>
      </c>
      <c r="R39" s="19">
        <v>1</v>
      </c>
      <c r="S39" s="33">
        <v>57522.123893805299</v>
      </c>
      <c r="T39" s="17" t="s">
        <v>137</v>
      </c>
      <c r="U39" s="17" t="s">
        <v>138</v>
      </c>
      <c r="V39" s="17" t="s">
        <v>139</v>
      </c>
      <c r="W39" s="39"/>
      <c r="X39" s="110" t="s">
        <v>158</v>
      </c>
    </row>
    <row r="40" spans="2:24" s="2" customFormat="1" ht="49.5" hidden="1" customHeight="1">
      <c r="B40" s="19" t="s">
        <v>8</v>
      </c>
      <c r="C40" s="17" t="str">
        <f>VLOOKUP(B40,[1]Sheet1!$A:$B,2,0)</f>
        <v>MODI</v>
      </c>
      <c r="D40" s="20" t="s">
        <v>159</v>
      </c>
      <c r="E40" s="20" t="s">
        <v>160</v>
      </c>
      <c r="F40" s="19" t="s">
        <v>51</v>
      </c>
      <c r="G40" s="19">
        <v>2023</v>
      </c>
      <c r="H40" s="17">
        <v>11</v>
      </c>
      <c r="I40" s="17" t="s">
        <v>142</v>
      </c>
      <c r="J40" s="29">
        <v>45597</v>
      </c>
      <c r="K40" s="30">
        <v>2</v>
      </c>
      <c r="L40" s="31"/>
      <c r="M40" s="31">
        <f t="shared" si="0"/>
        <v>0</v>
      </c>
      <c r="N40" s="31">
        <v>500000</v>
      </c>
      <c r="O40" s="19" t="s">
        <v>146</v>
      </c>
      <c r="P40" s="32">
        <v>45244</v>
      </c>
      <c r="Q40" s="36">
        <v>22123.893805309701</v>
      </c>
      <c r="R40" s="19">
        <v>1</v>
      </c>
      <c r="S40" s="33">
        <v>22123.893805309701</v>
      </c>
      <c r="T40" s="17" t="s">
        <v>137</v>
      </c>
      <c r="U40" s="17" t="s">
        <v>138</v>
      </c>
      <c r="V40" s="17" t="s">
        <v>139</v>
      </c>
      <c r="W40" s="39"/>
      <c r="X40" s="110" t="s">
        <v>158</v>
      </c>
    </row>
    <row r="41" spans="2:24" s="2" customFormat="1" ht="49.5" hidden="1" customHeight="1">
      <c r="B41" s="17" t="s">
        <v>8</v>
      </c>
      <c r="C41" s="17" t="str">
        <f>VLOOKUP(B41,[1]Sheet1!$A:$B,2,0)</f>
        <v>MODI</v>
      </c>
      <c r="D41" s="18" t="s">
        <v>76</v>
      </c>
      <c r="E41" s="92" t="s">
        <v>77</v>
      </c>
      <c r="F41" s="17" t="s">
        <v>51</v>
      </c>
      <c r="G41" s="17">
        <v>2024</v>
      </c>
      <c r="H41" s="17">
        <v>3</v>
      </c>
      <c r="I41" s="17" t="s">
        <v>142</v>
      </c>
      <c r="J41" s="29">
        <v>45597</v>
      </c>
      <c r="K41" s="30">
        <v>2</v>
      </c>
      <c r="L41" s="31"/>
      <c r="M41" s="31">
        <f t="shared" si="0"/>
        <v>0</v>
      </c>
      <c r="N41" s="31">
        <v>500000</v>
      </c>
      <c r="O41" s="17" t="s">
        <v>147</v>
      </c>
      <c r="P41" s="32">
        <v>45379</v>
      </c>
      <c r="Q41" s="36">
        <v>3982.30088495575</v>
      </c>
      <c r="R41" s="17">
        <v>1</v>
      </c>
      <c r="S41" s="35">
        <v>3982.30088495575</v>
      </c>
      <c r="T41" s="17" t="s">
        <v>137</v>
      </c>
      <c r="U41" s="17" t="s">
        <v>138</v>
      </c>
      <c r="V41" s="17" t="s">
        <v>139</v>
      </c>
      <c r="W41" s="17"/>
    </row>
    <row r="42" spans="2:24" s="2" customFormat="1" ht="49.5" hidden="1" customHeight="1">
      <c r="B42" s="17" t="s">
        <v>8</v>
      </c>
      <c r="C42" s="17" t="str">
        <f>VLOOKUP(B42,[1]Sheet1!$A:$B,2,0)</f>
        <v>MODI</v>
      </c>
      <c r="D42" s="18" t="s">
        <v>76</v>
      </c>
      <c r="E42" s="92" t="s">
        <v>77</v>
      </c>
      <c r="F42" s="17" t="s">
        <v>51</v>
      </c>
      <c r="G42" s="17">
        <v>2024</v>
      </c>
      <c r="H42" s="17">
        <v>4</v>
      </c>
      <c r="I42" s="17" t="s">
        <v>142</v>
      </c>
      <c r="J42" s="29">
        <v>45597</v>
      </c>
      <c r="K42" s="30">
        <v>2</v>
      </c>
      <c r="L42" s="31"/>
      <c r="M42" s="31">
        <f t="shared" si="0"/>
        <v>0</v>
      </c>
      <c r="N42" s="31">
        <v>500000</v>
      </c>
      <c r="O42" s="17" t="s">
        <v>147</v>
      </c>
      <c r="P42" s="32">
        <v>45394</v>
      </c>
      <c r="Q42" s="36">
        <v>38495.575221238898</v>
      </c>
      <c r="R42" s="17">
        <v>1</v>
      </c>
      <c r="S42" s="35">
        <v>38495.575221238898</v>
      </c>
      <c r="T42" s="17" t="s">
        <v>137</v>
      </c>
      <c r="U42" s="17" t="s">
        <v>138</v>
      </c>
      <c r="V42" s="17" t="s">
        <v>139</v>
      </c>
      <c r="W42" s="17"/>
    </row>
    <row r="43" spans="2:24" s="2" customFormat="1" ht="49.5" hidden="1" customHeight="1">
      <c r="B43" s="17" t="s">
        <v>8</v>
      </c>
      <c r="C43" s="17" t="str">
        <f>VLOOKUP(B43,[1]Sheet1!$A:$B,2,0)</f>
        <v>MODI</v>
      </c>
      <c r="D43" s="18" t="s">
        <v>76</v>
      </c>
      <c r="E43" s="92" t="s">
        <v>77</v>
      </c>
      <c r="F43" s="17" t="s">
        <v>51</v>
      </c>
      <c r="G43" s="17">
        <v>2024</v>
      </c>
      <c r="H43" s="19">
        <v>5</v>
      </c>
      <c r="I43" s="17" t="s">
        <v>142</v>
      </c>
      <c r="J43" s="29">
        <v>45597</v>
      </c>
      <c r="K43" s="30">
        <v>2</v>
      </c>
      <c r="L43" s="31"/>
      <c r="M43" s="31">
        <f t="shared" si="0"/>
        <v>0</v>
      </c>
      <c r="N43" s="31">
        <v>500000</v>
      </c>
      <c r="O43" s="17" t="s">
        <v>147</v>
      </c>
      <c r="P43" s="32">
        <v>45442</v>
      </c>
      <c r="Q43" s="36">
        <v>6725.6637168141597</v>
      </c>
      <c r="R43" s="17">
        <v>1</v>
      </c>
      <c r="S43" s="35">
        <v>6725.6637168141597</v>
      </c>
      <c r="T43" s="17" t="s">
        <v>137</v>
      </c>
      <c r="U43" s="17" t="s">
        <v>138</v>
      </c>
      <c r="V43" s="17" t="s">
        <v>139</v>
      </c>
      <c r="W43" s="17"/>
    </row>
    <row r="44" spans="2:24" s="2" customFormat="1" ht="49.5" customHeight="1">
      <c r="B44" s="17" t="s">
        <v>8</v>
      </c>
      <c r="C44" s="17" t="str">
        <f>VLOOKUP(B44,[1]Sheet1!$A:$B,2,0)</f>
        <v>MODI</v>
      </c>
      <c r="D44" s="18" t="s">
        <v>76</v>
      </c>
      <c r="E44" s="92" t="s">
        <v>77</v>
      </c>
      <c r="F44" s="17" t="s">
        <v>51</v>
      </c>
      <c r="G44" s="17">
        <v>2024</v>
      </c>
      <c r="H44" s="17">
        <v>6</v>
      </c>
      <c r="I44" s="17" t="s">
        <v>142</v>
      </c>
      <c r="J44" s="29">
        <v>45597</v>
      </c>
      <c r="K44" s="30">
        <v>2</v>
      </c>
      <c r="L44" s="31"/>
      <c r="M44" s="31">
        <f t="shared" si="0"/>
        <v>0</v>
      </c>
      <c r="N44" s="31">
        <v>500000</v>
      </c>
      <c r="O44" s="111" t="s">
        <v>148</v>
      </c>
      <c r="P44" s="32">
        <v>45449</v>
      </c>
      <c r="Q44" s="36">
        <v>33628.318584070803</v>
      </c>
      <c r="R44" s="17">
        <v>1</v>
      </c>
      <c r="S44" s="35">
        <v>33628.318584070803</v>
      </c>
      <c r="T44" s="17" t="s">
        <v>137</v>
      </c>
      <c r="U44" s="17" t="s">
        <v>138</v>
      </c>
      <c r="V44" s="17" t="s">
        <v>139</v>
      </c>
      <c r="W44" s="17"/>
    </row>
    <row r="45" spans="2:24" s="2" customFormat="1" ht="49.5" customHeight="1">
      <c r="B45" s="17" t="s">
        <v>8</v>
      </c>
      <c r="C45" s="17" t="str">
        <f>VLOOKUP(B45,[1]Sheet1!$A:$B,2,0)</f>
        <v>MODI</v>
      </c>
      <c r="D45" s="18" t="s">
        <v>76</v>
      </c>
      <c r="E45" s="92" t="s">
        <v>77</v>
      </c>
      <c r="F45" s="17" t="s">
        <v>51</v>
      </c>
      <c r="G45" s="17">
        <v>2024</v>
      </c>
      <c r="H45" s="17">
        <v>7</v>
      </c>
      <c r="I45" s="17" t="s">
        <v>142</v>
      </c>
      <c r="J45" s="29">
        <v>45597</v>
      </c>
      <c r="K45" s="30">
        <v>8</v>
      </c>
      <c r="L45" s="31"/>
      <c r="M45" s="31">
        <f t="shared" si="0"/>
        <v>0</v>
      </c>
      <c r="N45" s="31">
        <v>1000000</v>
      </c>
      <c r="O45" s="17" t="s">
        <v>148</v>
      </c>
      <c r="P45" s="32">
        <v>45474</v>
      </c>
      <c r="Q45" s="112">
        <v>5752</v>
      </c>
      <c r="R45" s="17">
        <v>1</v>
      </c>
      <c r="S45" s="112">
        <v>5752</v>
      </c>
      <c r="T45" s="17" t="s">
        <v>137</v>
      </c>
      <c r="U45" s="17" t="s">
        <v>138</v>
      </c>
      <c r="V45" s="17" t="s">
        <v>139</v>
      </c>
      <c r="W45" s="17"/>
    </row>
    <row r="46" spans="2:24" s="2" customFormat="1" ht="49.5" hidden="1" customHeight="1">
      <c r="B46" s="17" t="s">
        <v>8</v>
      </c>
      <c r="C46" s="17" t="str">
        <f>VLOOKUP(B46,[1]Sheet1!$A:$B,2,0)</f>
        <v>MODI</v>
      </c>
      <c r="D46" s="18" t="s">
        <v>76</v>
      </c>
      <c r="E46" s="92" t="s">
        <v>77</v>
      </c>
      <c r="F46" s="17" t="s">
        <v>51</v>
      </c>
      <c r="G46" s="17">
        <v>2024</v>
      </c>
      <c r="H46" s="17">
        <v>7</v>
      </c>
      <c r="I46" s="17" t="s">
        <v>142</v>
      </c>
      <c r="J46" s="29">
        <v>45597</v>
      </c>
      <c r="K46" s="30">
        <v>2</v>
      </c>
      <c r="L46" s="31"/>
      <c r="M46" s="31">
        <f t="shared" si="0"/>
        <v>0</v>
      </c>
      <c r="N46" s="31">
        <v>500000</v>
      </c>
      <c r="O46" s="17" t="s">
        <v>147</v>
      </c>
      <c r="P46" s="32">
        <v>45495</v>
      </c>
      <c r="Q46" s="36">
        <v>4690.2654867256597</v>
      </c>
      <c r="R46" s="17">
        <v>1</v>
      </c>
      <c r="S46" s="35">
        <v>4690.2654867256597</v>
      </c>
      <c r="T46" s="17" t="s">
        <v>137</v>
      </c>
      <c r="U46" s="17" t="s">
        <v>138</v>
      </c>
      <c r="V46" s="17" t="s">
        <v>139</v>
      </c>
      <c r="W46" s="17"/>
    </row>
    <row r="47" spans="2:24" s="2" customFormat="1" ht="49.5" customHeight="1">
      <c r="B47" s="17" t="s">
        <v>8</v>
      </c>
      <c r="C47" s="17" t="str">
        <f>VLOOKUP(B47,[1]Sheet1!$A:$B,2,0)</f>
        <v>MODI</v>
      </c>
      <c r="D47" s="18" t="s">
        <v>76</v>
      </c>
      <c r="E47" s="92" t="s">
        <v>77</v>
      </c>
      <c r="F47" s="17" t="s">
        <v>51</v>
      </c>
      <c r="G47" s="17">
        <v>2024</v>
      </c>
      <c r="H47" s="17">
        <v>7</v>
      </c>
      <c r="I47" s="17" t="s">
        <v>142</v>
      </c>
      <c r="J47" s="29">
        <v>45597</v>
      </c>
      <c r="K47" s="30">
        <v>8</v>
      </c>
      <c r="L47" s="31"/>
      <c r="M47" s="31">
        <f t="shared" si="0"/>
        <v>0</v>
      </c>
      <c r="N47" s="31">
        <v>1000000</v>
      </c>
      <c r="O47" s="17" t="s">
        <v>148</v>
      </c>
      <c r="P47" s="32">
        <v>45504</v>
      </c>
      <c r="Q47" s="112">
        <v>7947</v>
      </c>
      <c r="R47" s="17">
        <v>1</v>
      </c>
      <c r="S47" s="112">
        <v>7947</v>
      </c>
      <c r="T47" s="17" t="s">
        <v>137</v>
      </c>
      <c r="U47" s="17" t="s">
        <v>138</v>
      </c>
      <c r="V47" s="17" t="s">
        <v>139</v>
      </c>
      <c r="W47" s="17"/>
    </row>
    <row r="48" spans="2:24" s="2" customFormat="1" ht="49.5" hidden="1" customHeight="1">
      <c r="B48" s="17" t="s">
        <v>8</v>
      </c>
      <c r="C48" s="17" t="str">
        <f>VLOOKUP(B48,[1]Sheet1!$A:$B,2,0)</f>
        <v>MODI</v>
      </c>
      <c r="D48" s="18" t="s">
        <v>76</v>
      </c>
      <c r="E48" s="92" t="s">
        <v>77</v>
      </c>
      <c r="F48" s="17" t="s">
        <v>51</v>
      </c>
      <c r="G48" s="17">
        <v>2024</v>
      </c>
      <c r="H48" s="17">
        <v>7</v>
      </c>
      <c r="I48" s="17" t="s">
        <v>142</v>
      </c>
      <c r="J48" s="29">
        <v>45597</v>
      </c>
      <c r="K48" s="30">
        <v>2</v>
      </c>
      <c r="L48" s="31"/>
      <c r="M48" s="31">
        <f t="shared" si="0"/>
        <v>0</v>
      </c>
      <c r="N48" s="31">
        <v>500000</v>
      </c>
      <c r="O48" s="17" t="s">
        <v>147</v>
      </c>
      <c r="P48" s="32">
        <v>45504</v>
      </c>
      <c r="Q48" s="36">
        <v>3716.8141592920401</v>
      </c>
      <c r="R48" s="17">
        <v>1</v>
      </c>
      <c r="S48" s="35">
        <v>3716.8141592920401</v>
      </c>
      <c r="T48" s="17" t="s">
        <v>137</v>
      </c>
      <c r="U48" s="17" t="s">
        <v>138</v>
      </c>
      <c r="V48" s="17" t="s">
        <v>139</v>
      </c>
      <c r="W48" s="17"/>
    </row>
    <row r="49" spans="1:24" s="2" customFormat="1" ht="49.5" customHeight="1">
      <c r="B49" s="17" t="s">
        <v>8</v>
      </c>
      <c r="C49" s="17" t="str">
        <f>VLOOKUP(B49,[1]Sheet1!$A:$B,2,0)</f>
        <v>MODI</v>
      </c>
      <c r="D49" s="18" t="s">
        <v>76</v>
      </c>
      <c r="E49" s="92" t="s">
        <v>77</v>
      </c>
      <c r="F49" s="17" t="s">
        <v>51</v>
      </c>
      <c r="G49" s="17">
        <v>2024</v>
      </c>
      <c r="H49" s="17">
        <v>8</v>
      </c>
      <c r="I49" s="17" t="s">
        <v>142</v>
      </c>
      <c r="J49" s="29">
        <v>45597</v>
      </c>
      <c r="K49" s="30">
        <v>8</v>
      </c>
      <c r="L49" s="31"/>
      <c r="M49" s="31">
        <f t="shared" si="0"/>
        <v>0</v>
      </c>
      <c r="N49" s="31">
        <v>1000000</v>
      </c>
      <c r="O49" s="17" t="s">
        <v>148</v>
      </c>
      <c r="P49" s="32">
        <v>45511</v>
      </c>
      <c r="Q49" s="36">
        <v>7920.3539823008896</v>
      </c>
      <c r="R49" s="17">
        <v>1</v>
      </c>
      <c r="S49" s="35">
        <v>7920.3539823008896</v>
      </c>
      <c r="T49" s="17" t="s">
        <v>137</v>
      </c>
      <c r="U49" s="17" t="s">
        <v>138</v>
      </c>
      <c r="V49" s="17" t="s">
        <v>139</v>
      </c>
      <c r="W49" s="17"/>
    </row>
    <row r="50" spans="1:24" s="2" customFormat="1" ht="49.5" customHeight="1">
      <c r="B50" s="17" t="s">
        <v>7</v>
      </c>
      <c r="C50" s="17" t="str">
        <f>VLOOKUP(B50,[1]Sheet1!$A:$B,2,0)</f>
        <v>MODI</v>
      </c>
      <c r="D50" s="18" t="s">
        <v>76</v>
      </c>
      <c r="E50" s="92" t="s">
        <v>84</v>
      </c>
      <c r="F50" s="17" t="s">
        <v>51</v>
      </c>
      <c r="G50" s="17">
        <v>2024</v>
      </c>
      <c r="H50" s="19">
        <v>5</v>
      </c>
      <c r="I50" s="17" t="s">
        <v>142</v>
      </c>
      <c r="J50" s="29">
        <v>45597</v>
      </c>
      <c r="K50" s="30">
        <v>16</v>
      </c>
      <c r="L50" s="31">
        <v>812968</v>
      </c>
      <c r="M50" s="31">
        <f t="shared" si="0"/>
        <v>1625936</v>
      </c>
      <c r="N50" s="31">
        <v>1000000</v>
      </c>
      <c r="O50" s="17" t="s">
        <v>136</v>
      </c>
      <c r="P50" s="32">
        <v>45429</v>
      </c>
      <c r="Q50" s="36">
        <v>550000</v>
      </c>
      <c r="R50" s="17">
        <v>2</v>
      </c>
      <c r="S50" s="35">
        <v>1100000</v>
      </c>
      <c r="T50" s="17" t="s">
        <v>137</v>
      </c>
      <c r="U50" s="17" t="s">
        <v>138</v>
      </c>
      <c r="V50" s="17" t="s">
        <v>139</v>
      </c>
      <c r="W50" s="17"/>
      <c r="X50" s="108" t="s">
        <v>158</v>
      </c>
    </row>
    <row r="51" spans="1:24" s="2" customFormat="1" ht="49.5" customHeight="1">
      <c r="B51" s="18" t="s">
        <v>7</v>
      </c>
      <c r="C51" s="17" t="str">
        <f>VLOOKUP(B51,[1]Sheet1!$A:$B,2,0)</f>
        <v>MODI</v>
      </c>
      <c r="D51" s="18" t="s">
        <v>85</v>
      </c>
      <c r="E51" s="92" t="s">
        <v>86</v>
      </c>
      <c r="F51" s="17" t="s">
        <v>51</v>
      </c>
      <c r="G51" s="17">
        <v>2024</v>
      </c>
      <c r="H51" s="19">
        <v>5</v>
      </c>
      <c r="I51" s="17" t="s">
        <v>142</v>
      </c>
      <c r="J51" s="29">
        <v>45597</v>
      </c>
      <c r="K51" s="30">
        <v>32</v>
      </c>
      <c r="L51" s="31">
        <v>2257918</v>
      </c>
      <c r="M51" s="31">
        <f t="shared" si="0"/>
        <v>2257918</v>
      </c>
      <c r="N51" s="31">
        <v>1000000</v>
      </c>
      <c r="O51" s="17" t="s">
        <v>136</v>
      </c>
      <c r="P51" s="32">
        <v>45429</v>
      </c>
      <c r="Q51" s="36">
        <v>750000</v>
      </c>
      <c r="R51" s="19">
        <v>1</v>
      </c>
      <c r="S51" s="35">
        <v>750000</v>
      </c>
      <c r="T51" s="17" t="s">
        <v>137</v>
      </c>
      <c r="U51" s="17" t="s">
        <v>138</v>
      </c>
      <c r="V51" s="17" t="s">
        <v>139</v>
      </c>
      <c r="W51" s="17"/>
      <c r="X51" s="108" t="s">
        <v>158</v>
      </c>
    </row>
    <row r="52" spans="1:24" s="2" customFormat="1" ht="49.5" customHeight="1">
      <c r="B52" s="18" t="s">
        <v>7</v>
      </c>
      <c r="C52" s="17" t="str">
        <f>VLOOKUP(B52,[1]Sheet1!$A:$B,2,0)</f>
        <v>MODI</v>
      </c>
      <c r="D52" s="18" t="s">
        <v>88</v>
      </c>
      <c r="E52" s="92" t="s">
        <v>89</v>
      </c>
      <c r="F52" s="17" t="s">
        <v>51</v>
      </c>
      <c r="G52" s="17">
        <v>2024</v>
      </c>
      <c r="H52" s="19">
        <v>5</v>
      </c>
      <c r="I52" s="17" t="s">
        <v>142</v>
      </c>
      <c r="J52" s="29">
        <v>45597</v>
      </c>
      <c r="K52" s="30">
        <v>32</v>
      </c>
      <c r="L52" s="31">
        <v>2257918</v>
      </c>
      <c r="M52" s="31">
        <f t="shared" si="0"/>
        <v>2257918</v>
      </c>
      <c r="N52" s="31">
        <v>1000000</v>
      </c>
      <c r="O52" s="17" t="s">
        <v>136</v>
      </c>
      <c r="P52" s="32">
        <v>45429</v>
      </c>
      <c r="Q52" s="36">
        <v>720000</v>
      </c>
      <c r="R52" s="19">
        <v>1</v>
      </c>
      <c r="S52" s="35">
        <v>720000</v>
      </c>
      <c r="T52" s="17" t="s">
        <v>137</v>
      </c>
      <c r="U52" s="17" t="s">
        <v>138</v>
      </c>
      <c r="V52" s="17" t="s">
        <v>139</v>
      </c>
      <c r="W52" s="17"/>
      <c r="X52" s="108" t="s">
        <v>158</v>
      </c>
    </row>
    <row r="53" spans="1:24" s="2" customFormat="1" ht="49.5" customHeight="1">
      <c r="B53" s="18" t="s">
        <v>7</v>
      </c>
      <c r="C53" s="17" t="str">
        <f>VLOOKUP(B53,[1]Sheet1!$A:$B,2,0)</f>
        <v>MODI</v>
      </c>
      <c r="D53" s="18" t="s">
        <v>63</v>
      </c>
      <c r="E53" s="92" t="s">
        <v>90</v>
      </c>
      <c r="F53" s="17" t="s">
        <v>51</v>
      </c>
      <c r="G53" s="17">
        <v>2024</v>
      </c>
      <c r="H53" s="19">
        <v>5</v>
      </c>
      <c r="I53" s="17" t="s">
        <v>142</v>
      </c>
      <c r="J53" s="29">
        <v>45597</v>
      </c>
      <c r="K53" s="30">
        <v>16</v>
      </c>
      <c r="L53" s="31">
        <v>1174108</v>
      </c>
      <c r="M53" s="31">
        <f t="shared" si="0"/>
        <v>2348216</v>
      </c>
      <c r="N53" s="31">
        <v>1000000</v>
      </c>
      <c r="O53" s="17" t="s">
        <v>136</v>
      </c>
      <c r="P53" s="32">
        <v>45429</v>
      </c>
      <c r="Q53" s="36">
        <v>500000</v>
      </c>
      <c r="R53" s="19">
        <v>2</v>
      </c>
      <c r="S53" s="35">
        <v>1000000</v>
      </c>
      <c r="T53" s="17" t="s">
        <v>137</v>
      </c>
      <c r="U53" s="17" t="s">
        <v>138</v>
      </c>
      <c r="V53" s="17" t="s">
        <v>139</v>
      </c>
      <c r="W53" s="17"/>
      <c r="X53" s="108" t="s">
        <v>158</v>
      </c>
    </row>
    <row r="54" spans="1:24" s="2" customFormat="1" ht="49.5" customHeight="1">
      <c r="B54" s="18" t="s">
        <v>7</v>
      </c>
      <c r="C54" s="17" t="str">
        <f>VLOOKUP(B54,[1]Sheet1!$A:$B,2,0)</f>
        <v>MODI</v>
      </c>
      <c r="D54" s="18" t="s">
        <v>91</v>
      </c>
      <c r="E54" s="92" t="s">
        <v>92</v>
      </c>
      <c r="F54" s="17" t="s">
        <v>51</v>
      </c>
      <c r="G54" s="17">
        <v>2024</v>
      </c>
      <c r="H54" s="19">
        <v>5</v>
      </c>
      <c r="I54" s="17" t="s">
        <v>142</v>
      </c>
      <c r="J54" s="29">
        <v>45597</v>
      </c>
      <c r="K54" s="30">
        <v>16</v>
      </c>
      <c r="L54" s="31">
        <v>1087138</v>
      </c>
      <c r="M54" s="31">
        <f t="shared" si="0"/>
        <v>2174276</v>
      </c>
      <c r="N54" s="31">
        <v>1000000</v>
      </c>
      <c r="O54" s="17" t="s">
        <v>136</v>
      </c>
      <c r="P54" s="32">
        <v>45429</v>
      </c>
      <c r="Q54" s="36">
        <v>560000</v>
      </c>
      <c r="R54" s="19">
        <v>2</v>
      </c>
      <c r="S54" s="35">
        <v>1120000</v>
      </c>
      <c r="T54" s="17" t="s">
        <v>137</v>
      </c>
      <c r="U54" s="17" t="s">
        <v>138</v>
      </c>
      <c r="V54" s="17" t="s">
        <v>139</v>
      </c>
      <c r="W54" s="17"/>
      <c r="X54" s="108" t="s">
        <v>158</v>
      </c>
    </row>
    <row r="55" spans="1:24" s="2" customFormat="1" ht="49.5" customHeight="1">
      <c r="B55" s="20" t="s">
        <v>10</v>
      </c>
      <c r="C55" s="17" t="str">
        <f>VLOOKUP(B55,[1]Sheet1!$A:$B,2,0)</f>
        <v>RCS DEVICE</v>
      </c>
      <c r="D55" s="20" t="s">
        <v>93</v>
      </c>
      <c r="E55" s="93" t="s">
        <v>94</v>
      </c>
      <c r="F55" s="19" t="s">
        <v>51</v>
      </c>
      <c r="G55" s="17">
        <v>2024</v>
      </c>
      <c r="H55" s="17">
        <v>3</v>
      </c>
      <c r="I55" s="17" t="s">
        <v>142</v>
      </c>
      <c r="J55" s="29">
        <v>45597</v>
      </c>
      <c r="K55" s="30">
        <v>4</v>
      </c>
      <c r="L55" s="31">
        <v>209664</v>
      </c>
      <c r="M55" s="31">
        <f t="shared" si="0"/>
        <v>209664</v>
      </c>
      <c r="N55" s="31">
        <v>1000000</v>
      </c>
      <c r="O55" s="17" t="s">
        <v>136</v>
      </c>
      <c r="P55" s="32">
        <v>45365</v>
      </c>
      <c r="Q55" s="36">
        <v>219000</v>
      </c>
      <c r="R55" s="17">
        <v>1</v>
      </c>
      <c r="S55" s="36">
        <f>Q55*R55</f>
        <v>219000</v>
      </c>
      <c r="T55" s="17" t="s">
        <v>137</v>
      </c>
      <c r="U55" s="17" t="s">
        <v>138</v>
      </c>
      <c r="V55" s="17" t="s">
        <v>139</v>
      </c>
      <c r="W55" s="17"/>
      <c r="X55" s="108" t="s">
        <v>158</v>
      </c>
    </row>
    <row r="56" spans="1:24" s="2" customFormat="1" ht="49.5" customHeight="1">
      <c r="A56" s="21"/>
      <c r="B56" s="20" t="s">
        <v>11</v>
      </c>
      <c r="C56" s="17" t="str">
        <f>VLOOKUP(B56,[1]Sheet1!$A:$B,2,0)</f>
        <v>MODI</v>
      </c>
      <c r="D56" s="20" t="s">
        <v>63</v>
      </c>
      <c r="E56" s="93" t="s">
        <v>96</v>
      </c>
      <c r="F56" s="19" t="s">
        <v>51</v>
      </c>
      <c r="G56" s="17">
        <v>2023</v>
      </c>
      <c r="H56" s="17">
        <v>10</v>
      </c>
      <c r="I56" s="17" t="s">
        <v>142</v>
      </c>
      <c r="J56" s="29">
        <v>45597</v>
      </c>
      <c r="K56" s="30">
        <v>32</v>
      </c>
      <c r="L56" s="31">
        <v>2188784</v>
      </c>
      <c r="M56" s="31">
        <f t="shared" si="0"/>
        <v>2188784</v>
      </c>
      <c r="N56" s="31">
        <v>1000000</v>
      </c>
      <c r="O56" s="17" t="s">
        <v>136</v>
      </c>
      <c r="P56" s="32">
        <v>45225</v>
      </c>
      <c r="Q56" s="36">
        <v>500000</v>
      </c>
      <c r="R56" s="17">
        <v>1</v>
      </c>
      <c r="S56" s="35">
        <v>500000</v>
      </c>
      <c r="T56" s="17" t="s">
        <v>137</v>
      </c>
      <c r="U56" s="17" t="s">
        <v>138</v>
      </c>
      <c r="V56" s="17" t="s">
        <v>139</v>
      </c>
      <c r="W56" s="17"/>
      <c r="X56" s="108" t="s">
        <v>158</v>
      </c>
    </row>
    <row r="57" spans="1:24" s="2" customFormat="1" ht="49.5" hidden="1" customHeight="1">
      <c r="A57" s="21"/>
      <c r="B57" s="20" t="s">
        <v>11</v>
      </c>
      <c r="C57" s="17" t="str">
        <f>VLOOKUP(B57,[1]Sheet1!$A:$B,2,0)</f>
        <v>MODI</v>
      </c>
      <c r="D57" s="20" t="s">
        <v>63</v>
      </c>
      <c r="E57" s="93" t="s">
        <v>96</v>
      </c>
      <c r="F57" s="19" t="s">
        <v>51</v>
      </c>
      <c r="G57" s="17">
        <v>2023</v>
      </c>
      <c r="H57" s="17">
        <v>10</v>
      </c>
      <c r="I57" s="17" t="s">
        <v>142</v>
      </c>
      <c r="J57" s="29">
        <v>45597</v>
      </c>
      <c r="K57" s="30">
        <v>2</v>
      </c>
      <c r="L57" s="31"/>
      <c r="M57" s="31">
        <f t="shared" si="0"/>
        <v>0</v>
      </c>
      <c r="N57" s="31">
        <v>500000</v>
      </c>
      <c r="O57" s="17" t="s">
        <v>146</v>
      </c>
      <c r="P57" s="32">
        <v>45225</v>
      </c>
      <c r="Q57" s="36">
        <v>57522.123893805299</v>
      </c>
      <c r="R57" s="17">
        <v>1</v>
      </c>
      <c r="S57" s="35">
        <v>57522.123893805299</v>
      </c>
      <c r="T57" s="17" t="s">
        <v>137</v>
      </c>
      <c r="U57" s="17" t="s">
        <v>138</v>
      </c>
      <c r="V57" s="17" t="s">
        <v>139</v>
      </c>
      <c r="W57" s="17"/>
      <c r="X57" s="108" t="s">
        <v>158</v>
      </c>
    </row>
    <row r="58" spans="1:24" s="2" customFormat="1" ht="49.5" hidden="1" customHeight="1">
      <c r="A58" s="21"/>
      <c r="B58" s="20" t="s">
        <v>11</v>
      </c>
      <c r="C58" s="17" t="str">
        <f>VLOOKUP(B58,[1]Sheet1!$A:$B,2,0)</f>
        <v>MODI</v>
      </c>
      <c r="D58" s="20" t="s">
        <v>161</v>
      </c>
      <c r="E58" s="19" t="s">
        <v>160</v>
      </c>
      <c r="F58" s="19" t="s">
        <v>51</v>
      </c>
      <c r="G58" s="17">
        <v>2023</v>
      </c>
      <c r="H58" s="17">
        <v>10</v>
      </c>
      <c r="I58" s="17" t="s">
        <v>142</v>
      </c>
      <c r="J58" s="29">
        <v>45597</v>
      </c>
      <c r="K58" s="30">
        <v>2</v>
      </c>
      <c r="L58" s="31"/>
      <c r="M58" s="31">
        <f t="shared" si="0"/>
        <v>0</v>
      </c>
      <c r="N58" s="31">
        <v>500000</v>
      </c>
      <c r="O58" s="17" t="s">
        <v>146</v>
      </c>
      <c r="P58" s="32">
        <v>45225</v>
      </c>
      <c r="Q58" s="36">
        <v>57522.123893805299</v>
      </c>
      <c r="R58" s="17">
        <v>1</v>
      </c>
      <c r="S58" s="35">
        <v>57522.123893805299</v>
      </c>
      <c r="T58" s="17" t="s">
        <v>137</v>
      </c>
      <c r="U58" s="17" t="s">
        <v>138</v>
      </c>
      <c r="V58" s="17" t="s">
        <v>139</v>
      </c>
      <c r="W58" s="17"/>
      <c r="X58" s="108" t="s">
        <v>158</v>
      </c>
    </row>
    <row r="59" spans="1:24" s="2" customFormat="1" ht="49.5" customHeight="1">
      <c r="A59" s="21"/>
      <c r="B59" s="20" t="s">
        <v>11</v>
      </c>
      <c r="C59" s="17" t="str">
        <f>VLOOKUP(B59,[1]Sheet1!$A:$B,2,0)</f>
        <v>MODI</v>
      </c>
      <c r="D59" s="20" t="s">
        <v>63</v>
      </c>
      <c r="E59" s="93" t="s">
        <v>96</v>
      </c>
      <c r="F59" s="19" t="s">
        <v>51</v>
      </c>
      <c r="G59" s="17">
        <v>2024</v>
      </c>
      <c r="H59" s="17">
        <v>3</v>
      </c>
      <c r="I59" s="17" t="s">
        <v>142</v>
      </c>
      <c r="J59" s="29">
        <v>45597</v>
      </c>
      <c r="K59" s="30">
        <v>32</v>
      </c>
      <c r="L59" s="31">
        <v>2188784</v>
      </c>
      <c r="M59" s="31">
        <f t="shared" si="0"/>
        <v>2188784</v>
      </c>
      <c r="N59" s="31">
        <v>1000000</v>
      </c>
      <c r="O59" s="17" t="s">
        <v>136</v>
      </c>
      <c r="P59" s="32">
        <v>45363</v>
      </c>
      <c r="Q59" s="36">
        <v>450000</v>
      </c>
      <c r="R59" s="17">
        <v>1</v>
      </c>
      <c r="S59" s="36">
        <v>450000</v>
      </c>
      <c r="T59" s="17" t="s">
        <v>137</v>
      </c>
      <c r="U59" s="17" t="s">
        <v>138</v>
      </c>
      <c r="V59" s="17" t="s">
        <v>139</v>
      </c>
      <c r="W59" s="17"/>
      <c r="X59" s="108" t="s">
        <v>158</v>
      </c>
    </row>
    <row r="60" spans="1:24" s="2" customFormat="1" ht="49.5" customHeight="1">
      <c r="A60" s="21"/>
      <c r="B60" s="20" t="s">
        <v>11</v>
      </c>
      <c r="C60" s="17" t="str">
        <f>VLOOKUP(B60,[1]Sheet1!$A:$B,2,0)</f>
        <v>MODI</v>
      </c>
      <c r="D60" s="20" t="s">
        <v>63</v>
      </c>
      <c r="E60" s="93" t="s">
        <v>96</v>
      </c>
      <c r="F60" s="17" t="s">
        <v>51</v>
      </c>
      <c r="G60" s="17">
        <v>2023</v>
      </c>
      <c r="H60" s="17">
        <v>11</v>
      </c>
      <c r="I60" s="17" t="s">
        <v>142</v>
      </c>
      <c r="J60" s="29">
        <v>45597</v>
      </c>
      <c r="K60" s="30">
        <v>32</v>
      </c>
      <c r="L60" s="31"/>
      <c r="M60" s="31">
        <f t="shared" si="0"/>
        <v>0</v>
      </c>
      <c r="N60" s="31">
        <v>1000000</v>
      </c>
      <c r="O60" s="17" t="s">
        <v>148</v>
      </c>
      <c r="P60" s="32">
        <v>45241</v>
      </c>
      <c r="Q60" s="36">
        <v>18584.070796460201</v>
      </c>
      <c r="R60" s="17">
        <v>1</v>
      </c>
      <c r="S60" s="35">
        <v>18584.070796460201</v>
      </c>
      <c r="T60" s="17" t="s">
        <v>137</v>
      </c>
      <c r="U60" s="17" t="s">
        <v>138</v>
      </c>
      <c r="V60" s="17" t="s">
        <v>139</v>
      </c>
      <c r="W60" s="17"/>
    </row>
    <row r="61" spans="1:24" s="2" customFormat="1" ht="49.5" hidden="1" customHeight="1">
      <c r="A61" s="21"/>
      <c r="B61" s="20" t="s">
        <v>11</v>
      </c>
      <c r="C61" s="17" t="str">
        <f>VLOOKUP(B61,[1]Sheet1!$A:$B,2,0)</f>
        <v>MODI</v>
      </c>
      <c r="D61" s="20" t="s">
        <v>88</v>
      </c>
      <c r="E61" s="93" t="s">
        <v>104</v>
      </c>
      <c r="F61" s="17" t="s">
        <v>51</v>
      </c>
      <c r="G61" s="17">
        <v>2023</v>
      </c>
      <c r="H61" s="17">
        <v>11</v>
      </c>
      <c r="I61" s="17" t="s">
        <v>142</v>
      </c>
      <c r="J61" s="29">
        <v>45597</v>
      </c>
      <c r="K61" s="30">
        <v>2</v>
      </c>
      <c r="L61" s="31"/>
      <c r="M61" s="31">
        <f t="shared" si="0"/>
        <v>0</v>
      </c>
      <c r="N61" s="31">
        <v>500000</v>
      </c>
      <c r="O61" s="17" t="s">
        <v>147</v>
      </c>
      <c r="P61" s="32">
        <v>45244</v>
      </c>
      <c r="Q61" s="36">
        <v>37168.141592920401</v>
      </c>
      <c r="R61" s="17">
        <v>1</v>
      </c>
      <c r="S61" s="35">
        <v>37168.141592920401</v>
      </c>
      <c r="T61" s="17" t="s">
        <v>137</v>
      </c>
      <c r="U61" s="17" t="s">
        <v>138</v>
      </c>
      <c r="V61" s="17" t="s">
        <v>139</v>
      </c>
      <c r="W61" s="17"/>
    </row>
    <row r="62" spans="1:24" s="2" customFormat="1" ht="49.5" hidden="1" customHeight="1">
      <c r="A62" s="21"/>
      <c r="B62" s="20" t="s">
        <v>11</v>
      </c>
      <c r="C62" s="17" t="str">
        <f>VLOOKUP(B62,[1]Sheet1!$A:$B,2,0)</f>
        <v>MODI</v>
      </c>
      <c r="D62" s="20" t="s">
        <v>88</v>
      </c>
      <c r="E62" s="93" t="s">
        <v>104</v>
      </c>
      <c r="F62" s="17" t="s">
        <v>51</v>
      </c>
      <c r="G62" s="17">
        <v>2023</v>
      </c>
      <c r="H62" s="17">
        <v>11</v>
      </c>
      <c r="I62" s="17" t="s">
        <v>142</v>
      </c>
      <c r="J62" s="29">
        <v>45597</v>
      </c>
      <c r="K62" s="30">
        <v>2</v>
      </c>
      <c r="L62" s="31"/>
      <c r="M62" s="31">
        <f t="shared" si="0"/>
        <v>0</v>
      </c>
      <c r="N62" s="31">
        <v>500000</v>
      </c>
      <c r="O62" s="17" t="s">
        <v>147</v>
      </c>
      <c r="P62" s="32">
        <v>45244</v>
      </c>
      <c r="Q62" s="36">
        <v>39115.044247787599</v>
      </c>
      <c r="R62" s="17">
        <v>1</v>
      </c>
      <c r="S62" s="35">
        <v>39115.044247787599</v>
      </c>
      <c r="T62" s="17" t="s">
        <v>137</v>
      </c>
      <c r="U62" s="17" t="s">
        <v>138</v>
      </c>
      <c r="V62" s="17" t="s">
        <v>139</v>
      </c>
      <c r="W62" s="17"/>
    </row>
    <row r="63" spans="1:24" s="2" customFormat="1" ht="49.5" customHeight="1">
      <c r="A63" s="21"/>
      <c r="B63" s="20" t="s">
        <v>11</v>
      </c>
      <c r="C63" s="17" t="str">
        <f>VLOOKUP(B63,[1]Sheet1!$A:$B,2,0)</f>
        <v>MODI</v>
      </c>
      <c r="D63" s="20" t="s">
        <v>88</v>
      </c>
      <c r="E63" s="93" t="s">
        <v>104</v>
      </c>
      <c r="F63" s="17" t="s">
        <v>51</v>
      </c>
      <c r="G63" s="17">
        <v>2023</v>
      </c>
      <c r="H63" s="17">
        <v>11</v>
      </c>
      <c r="I63" s="17" t="s">
        <v>142</v>
      </c>
      <c r="J63" s="29">
        <v>45597</v>
      </c>
      <c r="K63" s="30">
        <v>32</v>
      </c>
      <c r="L63" s="31"/>
      <c r="M63" s="31">
        <f t="shared" si="0"/>
        <v>0</v>
      </c>
      <c r="N63" s="31">
        <v>1000000</v>
      </c>
      <c r="O63" s="17" t="s">
        <v>148</v>
      </c>
      <c r="P63" s="32">
        <v>45249</v>
      </c>
      <c r="Q63" s="36">
        <v>128318.584070796</v>
      </c>
      <c r="R63" s="17">
        <v>1</v>
      </c>
      <c r="S63" s="35">
        <v>128318.584070796</v>
      </c>
      <c r="T63" s="17" t="s">
        <v>137</v>
      </c>
      <c r="U63" s="17" t="s">
        <v>138</v>
      </c>
      <c r="V63" s="17" t="s">
        <v>139</v>
      </c>
      <c r="W63" s="17"/>
    </row>
    <row r="64" spans="1:24" s="2" customFormat="1" ht="49.5" hidden="1" customHeight="1">
      <c r="A64" s="21"/>
      <c r="B64" s="20" t="s">
        <v>11</v>
      </c>
      <c r="C64" s="17" t="str">
        <f>VLOOKUP(B64,[1]Sheet1!$A:$B,2,0)</f>
        <v>MODI</v>
      </c>
      <c r="D64" s="20" t="s">
        <v>63</v>
      </c>
      <c r="E64" s="93" t="s">
        <v>96</v>
      </c>
      <c r="F64" s="17" t="s">
        <v>51</v>
      </c>
      <c r="G64" s="17">
        <v>2023</v>
      </c>
      <c r="H64" s="17">
        <v>11</v>
      </c>
      <c r="I64" s="17" t="s">
        <v>142</v>
      </c>
      <c r="J64" s="29">
        <v>45597</v>
      </c>
      <c r="K64" s="30">
        <v>2</v>
      </c>
      <c r="L64" s="31"/>
      <c r="M64" s="31">
        <f t="shared" si="0"/>
        <v>0</v>
      </c>
      <c r="N64" s="31">
        <v>500000</v>
      </c>
      <c r="O64" s="17" t="s">
        <v>147</v>
      </c>
      <c r="P64" s="32">
        <v>45258</v>
      </c>
      <c r="Q64" s="36">
        <v>5752.2123893805301</v>
      </c>
      <c r="R64" s="17">
        <v>1</v>
      </c>
      <c r="S64" s="35">
        <v>5752.2123893805301</v>
      </c>
      <c r="T64" s="17" t="s">
        <v>137</v>
      </c>
      <c r="U64" s="17" t="s">
        <v>138</v>
      </c>
      <c r="V64" s="17" t="s">
        <v>139</v>
      </c>
      <c r="W64" s="17"/>
    </row>
    <row r="65" spans="1:24" s="2" customFormat="1" ht="49.5" hidden="1" customHeight="1">
      <c r="A65" s="21"/>
      <c r="B65" s="20" t="s">
        <v>11</v>
      </c>
      <c r="C65" s="17" t="str">
        <f>VLOOKUP(B65,[1]Sheet1!$A:$B,2,0)</f>
        <v>MODI</v>
      </c>
      <c r="D65" s="20" t="s">
        <v>63</v>
      </c>
      <c r="E65" s="93" t="s">
        <v>96</v>
      </c>
      <c r="F65" s="17" t="s">
        <v>51</v>
      </c>
      <c r="G65" s="17">
        <v>2023</v>
      </c>
      <c r="H65" s="17">
        <v>12</v>
      </c>
      <c r="I65" s="17" t="s">
        <v>142</v>
      </c>
      <c r="J65" s="29">
        <v>45597</v>
      </c>
      <c r="K65" s="30">
        <v>2</v>
      </c>
      <c r="L65" s="31"/>
      <c r="M65" s="31">
        <f t="shared" si="0"/>
        <v>0</v>
      </c>
      <c r="N65" s="31">
        <v>500000</v>
      </c>
      <c r="O65" s="17" t="s">
        <v>147</v>
      </c>
      <c r="P65" s="32">
        <v>45267</v>
      </c>
      <c r="Q65" s="36">
        <v>5486.7256637168102</v>
      </c>
      <c r="R65" s="17">
        <v>1</v>
      </c>
      <c r="S65" s="35">
        <v>5486.7256637168102</v>
      </c>
      <c r="T65" s="17" t="s">
        <v>137</v>
      </c>
      <c r="U65" s="17" t="s">
        <v>138</v>
      </c>
      <c r="V65" s="17" t="s">
        <v>139</v>
      </c>
      <c r="W65" s="17"/>
    </row>
    <row r="66" spans="1:24" s="2" customFormat="1" ht="49.5" hidden="1" customHeight="1">
      <c r="A66" s="21"/>
      <c r="B66" s="20" t="s">
        <v>11</v>
      </c>
      <c r="C66" s="17" t="str">
        <f>VLOOKUP(B66,[1]Sheet1!$A:$B,2,0)</f>
        <v>MODI</v>
      </c>
      <c r="D66" s="20" t="s">
        <v>63</v>
      </c>
      <c r="E66" s="93" t="s">
        <v>96</v>
      </c>
      <c r="F66" s="17" t="s">
        <v>51</v>
      </c>
      <c r="G66" s="17">
        <v>2023</v>
      </c>
      <c r="H66" s="17">
        <v>11</v>
      </c>
      <c r="I66" s="17" t="s">
        <v>142</v>
      </c>
      <c r="J66" s="29">
        <v>45597</v>
      </c>
      <c r="K66" s="30">
        <v>2</v>
      </c>
      <c r="L66" s="31"/>
      <c r="M66" s="31">
        <f t="shared" si="0"/>
        <v>0</v>
      </c>
      <c r="N66" s="31">
        <v>500000</v>
      </c>
      <c r="O66" s="17" t="s">
        <v>147</v>
      </c>
      <c r="P66" s="32">
        <v>45253</v>
      </c>
      <c r="Q66" s="36">
        <v>19115.044247787599</v>
      </c>
      <c r="R66" s="17">
        <v>1</v>
      </c>
      <c r="S66" s="35">
        <v>19115.044247787599</v>
      </c>
      <c r="T66" s="17" t="s">
        <v>137</v>
      </c>
      <c r="U66" s="17" t="s">
        <v>138</v>
      </c>
      <c r="V66" s="17" t="s">
        <v>139</v>
      </c>
      <c r="W66" s="17"/>
    </row>
    <row r="67" spans="1:24" s="2" customFormat="1" ht="49.5" customHeight="1">
      <c r="A67" s="21"/>
      <c r="B67" s="20" t="s">
        <v>11</v>
      </c>
      <c r="C67" s="17" t="str">
        <f>VLOOKUP(B67,[1]Sheet1!$A:$B,2,0)</f>
        <v>MODI</v>
      </c>
      <c r="D67" s="40" t="s">
        <v>88</v>
      </c>
      <c r="E67" s="91" t="s">
        <v>104</v>
      </c>
      <c r="F67" s="17" t="s">
        <v>51</v>
      </c>
      <c r="G67" s="17">
        <v>2023</v>
      </c>
      <c r="H67" s="17">
        <v>12</v>
      </c>
      <c r="I67" s="17" t="s">
        <v>142</v>
      </c>
      <c r="J67" s="29">
        <v>45597</v>
      </c>
      <c r="K67" s="30">
        <v>32</v>
      </c>
      <c r="L67" s="31"/>
      <c r="M67" s="31">
        <f t="shared" si="0"/>
        <v>0</v>
      </c>
      <c r="N67" s="31">
        <v>1000000</v>
      </c>
      <c r="O67" s="17" t="s">
        <v>148</v>
      </c>
      <c r="P67" s="32">
        <v>45273</v>
      </c>
      <c r="Q67" s="36">
        <v>27433.628318584098</v>
      </c>
      <c r="R67" s="17">
        <v>1</v>
      </c>
      <c r="S67" s="35">
        <v>27433.628318584098</v>
      </c>
      <c r="T67" s="17" t="s">
        <v>137</v>
      </c>
      <c r="U67" s="17" t="s">
        <v>138</v>
      </c>
      <c r="V67" s="17" t="s">
        <v>139</v>
      </c>
      <c r="W67" s="17"/>
    </row>
    <row r="68" spans="1:24" s="2" customFormat="1" ht="49.5" customHeight="1">
      <c r="A68" s="21"/>
      <c r="B68" s="20" t="s">
        <v>11</v>
      </c>
      <c r="C68" s="17" t="str">
        <f>VLOOKUP(B68,[1]Sheet1!$A:$B,2,0)</f>
        <v>MODI</v>
      </c>
      <c r="D68" s="20" t="s">
        <v>63</v>
      </c>
      <c r="E68" s="93" t="s">
        <v>96</v>
      </c>
      <c r="F68" s="17" t="s">
        <v>51</v>
      </c>
      <c r="G68" s="17">
        <v>2023</v>
      </c>
      <c r="H68" s="17">
        <v>12</v>
      </c>
      <c r="I68" s="17" t="s">
        <v>142</v>
      </c>
      <c r="J68" s="29">
        <v>45597</v>
      </c>
      <c r="K68" s="30">
        <v>32</v>
      </c>
      <c r="L68" s="31"/>
      <c r="M68" s="31">
        <f t="shared" si="0"/>
        <v>0</v>
      </c>
      <c r="N68" s="31">
        <v>1000000</v>
      </c>
      <c r="O68" s="17" t="s">
        <v>148</v>
      </c>
      <c r="P68" s="32">
        <v>45273</v>
      </c>
      <c r="Q68" s="36">
        <v>75221.238938053095</v>
      </c>
      <c r="R68" s="17">
        <v>1</v>
      </c>
      <c r="S68" s="35">
        <v>75221.238938053095</v>
      </c>
      <c r="T68" s="17" t="s">
        <v>137</v>
      </c>
      <c r="U68" s="17" t="s">
        <v>138</v>
      </c>
      <c r="V68" s="17" t="s">
        <v>139</v>
      </c>
      <c r="W68" s="17"/>
    </row>
    <row r="69" spans="1:24" s="2" customFormat="1" ht="49.5" hidden="1" customHeight="1">
      <c r="A69" s="21"/>
      <c r="B69" s="20" t="s">
        <v>11</v>
      </c>
      <c r="C69" s="17" t="str">
        <f>VLOOKUP(B69,[1]Sheet1!$A:$B,2,0)</f>
        <v>MODI</v>
      </c>
      <c r="D69" s="20" t="s">
        <v>63</v>
      </c>
      <c r="E69" s="93" t="s">
        <v>96</v>
      </c>
      <c r="F69" s="17" t="s">
        <v>51</v>
      </c>
      <c r="G69" s="17">
        <v>2023</v>
      </c>
      <c r="H69" s="17">
        <v>12</v>
      </c>
      <c r="I69" s="17" t="s">
        <v>142</v>
      </c>
      <c r="J69" s="29">
        <v>45597</v>
      </c>
      <c r="K69" s="30">
        <v>2</v>
      </c>
      <c r="L69" s="31"/>
      <c r="M69" s="31">
        <f t="shared" si="0"/>
        <v>0</v>
      </c>
      <c r="N69" s="31">
        <v>500000</v>
      </c>
      <c r="O69" s="17" t="s">
        <v>147</v>
      </c>
      <c r="P69" s="32">
        <v>45282</v>
      </c>
      <c r="Q69" s="36">
        <v>6371.6814159291998</v>
      </c>
      <c r="R69" s="17">
        <v>1</v>
      </c>
      <c r="S69" s="35">
        <v>6371.6814159291998</v>
      </c>
      <c r="T69" s="17" t="s">
        <v>137</v>
      </c>
      <c r="U69" s="17" t="s">
        <v>138</v>
      </c>
      <c r="V69" s="17" t="s">
        <v>139</v>
      </c>
      <c r="W69" s="17"/>
    </row>
    <row r="70" spans="1:24" s="2" customFormat="1" ht="49.5" hidden="1" customHeight="1">
      <c r="A70" s="21"/>
      <c r="B70" s="20" t="s">
        <v>11</v>
      </c>
      <c r="C70" s="17" t="str">
        <f>VLOOKUP(B70,[1]Sheet1!$A:$B,2,0)</f>
        <v>MODI</v>
      </c>
      <c r="D70" s="20" t="s">
        <v>63</v>
      </c>
      <c r="E70" s="93" t="s">
        <v>96</v>
      </c>
      <c r="F70" s="17" t="s">
        <v>51</v>
      </c>
      <c r="G70" s="17">
        <v>2024</v>
      </c>
      <c r="H70" s="17">
        <v>1</v>
      </c>
      <c r="I70" s="17" t="s">
        <v>142</v>
      </c>
      <c r="J70" s="29">
        <v>45597</v>
      </c>
      <c r="K70" s="30">
        <v>2</v>
      </c>
      <c r="L70" s="31"/>
      <c r="M70" s="31">
        <f t="shared" si="0"/>
        <v>0</v>
      </c>
      <c r="N70" s="31">
        <v>500000</v>
      </c>
      <c r="O70" s="17" t="s">
        <v>147</v>
      </c>
      <c r="P70" s="32">
        <v>45300</v>
      </c>
      <c r="Q70" s="36">
        <v>5132.7433628318604</v>
      </c>
      <c r="R70" s="17">
        <v>1</v>
      </c>
      <c r="S70" s="35">
        <v>5132.7433628318604</v>
      </c>
      <c r="T70" s="17" t="s">
        <v>137</v>
      </c>
      <c r="U70" s="17" t="s">
        <v>138</v>
      </c>
      <c r="V70" s="17" t="s">
        <v>139</v>
      </c>
      <c r="W70" s="17"/>
    </row>
    <row r="71" spans="1:24" s="2" customFormat="1" ht="49.5" hidden="1" customHeight="1">
      <c r="A71" s="21"/>
      <c r="B71" s="20" t="s">
        <v>11</v>
      </c>
      <c r="C71" s="17" t="str">
        <f>VLOOKUP(B71,[1]Sheet1!$A:$B,2,0)</f>
        <v>MODI</v>
      </c>
      <c r="D71" s="20" t="s">
        <v>63</v>
      </c>
      <c r="E71" s="93" t="s">
        <v>96</v>
      </c>
      <c r="F71" s="17" t="s">
        <v>51</v>
      </c>
      <c r="G71" s="17">
        <v>2024</v>
      </c>
      <c r="H71" s="17">
        <v>1</v>
      </c>
      <c r="I71" s="17" t="s">
        <v>142</v>
      </c>
      <c r="J71" s="29">
        <v>45597</v>
      </c>
      <c r="K71" s="30">
        <v>2</v>
      </c>
      <c r="L71" s="31"/>
      <c r="M71" s="31">
        <f t="shared" ref="M71:M134" si="3">L71*R71</f>
        <v>0</v>
      </c>
      <c r="N71" s="31">
        <v>500000</v>
      </c>
      <c r="O71" s="17" t="s">
        <v>147</v>
      </c>
      <c r="P71" s="32">
        <v>45293</v>
      </c>
      <c r="Q71" s="36">
        <v>5929.20353982301</v>
      </c>
      <c r="R71" s="17">
        <v>1</v>
      </c>
      <c r="S71" s="35">
        <v>5929.20353982301</v>
      </c>
      <c r="T71" s="17" t="s">
        <v>137</v>
      </c>
      <c r="U71" s="17" t="s">
        <v>138</v>
      </c>
      <c r="V71" s="17" t="s">
        <v>139</v>
      </c>
      <c r="W71" s="17"/>
    </row>
    <row r="72" spans="1:24" s="2" customFormat="1" ht="49.5" hidden="1" customHeight="1">
      <c r="A72" s="21"/>
      <c r="B72" s="20" t="s">
        <v>10</v>
      </c>
      <c r="C72" s="17" t="str">
        <f>VLOOKUP(B72,[1]Sheet1!$A:$B,2,0)</f>
        <v>RCS DEVICE</v>
      </c>
      <c r="D72" s="17" t="s">
        <v>49</v>
      </c>
      <c r="E72" s="92" t="s">
        <v>50</v>
      </c>
      <c r="F72" s="17" t="s">
        <v>51</v>
      </c>
      <c r="G72" s="17">
        <v>2024</v>
      </c>
      <c r="H72" s="17">
        <v>3</v>
      </c>
      <c r="I72" s="17" t="s">
        <v>142</v>
      </c>
      <c r="J72" s="29">
        <v>45597</v>
      </c>
      <c r="K72" s="30">
        <v>2</v>
      </c>
      <c r="L72" s="31"/>
      <c r="M72" s="31">
        <f t="shared" si="3"/>
        <v>0</v>
      </c>
      <c r="N72" s="31">
        <v>500000</v>
      </c>
      <c r="O72" s="17" t="s">
        <v>147</v>
      </c>
      <c r="P72" s="32">
        <v>45379</v>
      </c>
      <c r="Q72" s="36">
        <v>48000</v>
      </c>
      <c r="R72" s="17">
        <v>1</v>
      </c>
      <c r="S72" s="35">
        <v>48000</v>
      </c>
      <c r="T72" s="17" t="s">
        <v>137</v>
      </c>
      <c r="U72" s="17" t="s">
        <v>138</v>
      </c>
      <c r="V72" s="17" t="s">
        <v>139</v>
      </c>
      <c r="W72" s="17"/>
    </row>
    <row r="73" spans="1:24" s="2" customFormat="1" ht="49.5" customHeight="1">
      <c r="B73" s="20" t="s">
        <v>11</v>
      </c>
      <c r="C73" s="17" t="str">
        <f>VLOOKUP(B73,[1]Sheet1!$A:$B,2,0)</f>
        <v>MODI</v>
      </c>
      <c r="D73" s="20" t="s">
        <v>76</v>
      </c>
      <c r="E73" s="93" t="s">
        <v>102</v>
      </c>
      <c r="F73" s="19" t="s">
        <v>51</v>
      </c>
      <c r="G73" s="17">
        <v>2023</v>
      </c>
      <c r="H73" s="17">
        <v>10</v>
      </c>
      <c r="I73" s="17" t="s">
        <v>142</v>
      </c>
      <c r="J73" s="29">
        <v>45597</v>
      </c>
      <c r="K73" s="30">
        <v>32</v>
      </c>
      <c r="L73" s="31">
        <v>1896960</v>
      </c>
      <c r="M73" s="31">
        <f t="shared" si="3"/>
        <v>1896960</v>
      </c>
      <c r="N73" s="31">
        <v>1000000</v>
      </c>
      <c r="O73" s="17" t="s">
        <v>136</v>
      </c>
      <c r="P73" s="32">
        <v>45225</v>
      </c>
      <c r="Q73" s="36">
        <v>560000</v>
      </c>
      <c r="R73" s="17">
        <v>1</v>
      </c>
      <c r="S73" s="35">
        <v>560000</v>
      </c>
      <c r="T73" s="17" t="s">
        <v>137</v>
      </c>
      <c r="U73" s="17" t="s">
        <v>138</v>
      </c>
      <c r="V73" s="17" t="s">
        <v>139</v>
      </c>
      <c r="W73" s="17"/>
      <c r="X73" s="110" t="s">
        <v>162</v>
      </c>
    </row>
    <row r="74" spans="1:24" s="2" customFormat="1" ht="49.5" hidden="1" customHeight="1">
      <c r="B74" s="20" t="s">
        <v>11</v>
      </c>
      <c r="C74" s="17" t="str">
        <f>VLOOKUP(B74,[1]Sheet1!$A:$B,2,0)</f>
        <v>MODI</v>
      </c>
      <c r="D74" s="20" t="s">
        <v>76</v>
      </c>
      <c r="E74" s="93" t="s">
        <v>102</v>
      </c>
      <c r="F74" s="19" t="s">
        <v>51</v>
      </c>
      <c r="G74" s="17">
        <v>2023</v>
      </c>
      <c r="H74" s="17">
        <v>10</v>
      </c>
      <c r="I74" s="17" t="s">
        <v>142</v>
      </c>
      <c r="J74" s="29">
        <v>45597</v>
      </c>
      <c r="K74" s="30">
        <v>2</v>
      </c>
      <c r="L74" s="31"/>
      <c r="M74" s="31">
        <f t="shared" si="3"/>
        <v>0</v>
      </c>
      <c r="N74" s="31">
        <v>500000</v>
      </c>
      <c r="O74" s="17" t="s">
        <v>146</v>
      </c>
      <c r="P74" s="32">
        <v>45225</v>
      </c>
      <c r="Q74" s="36">
        <v>62831.858407079599</v>
      </c>
      <c r="R74" s="17">
        <v>1</v>
      </c>
      <c r="S74" s="35">
        <v>62831.858407079599</v>
      </c>
      <c r="T74" s="17" t="s">
        <v>137</v>
      </c>
      <c r="U74" s="17" t="s">
        <v>138</v>
      </c>
      <c r="V74" s="17" t="s">
        <v>139</v>
      </c>
      <c r="W74" s="17"/>
      <c r="X74" s="110" t="s">
        <v>162</v>
      </c>
    </row>
    <row r="75" spans="1:24" s="2" customFormat="1" ht="49.5" hidden="1" customHeight="1">
      <c r="B75" s="20" t="s">
        <v>11</v>
      </c>
      <c r="C75" s="17" t="str">
        <f>VLOOKUP(B75,[1]Sheet1!$A:$B,2,0)</f>
        <v>MODI</v>
      </c>
      <c r="D75" s="20" t="s">
        <v>76</v>
      </c>
      <c r="E75" s="93" t="s">
        <v>102</v>
      </c>
      <c r="F75" s="19" t="s">
        <v>51</v>
      </c>
      <c r="G75" s="17">
        <v>2023</v>
      </c>
      <c r="H75" s="17">
        <v>12</v>
      </c>
      <c r="I75" s="17" t="s">
        <v>142</v>
      </c>
      <c r="J75" s="29">
        <v>45597</v>
      </c>
      <c r="K75" s="30">
        <v>2</v>
      </c>
      <c r="L75" s="31"/>
      <c r="M75" s="31">
        <f t="shared" si="3"/>
        <v>0</v>
      </c>
      <c r="N75" s="31">
        <v>500000</v>
      </c>
      <c r="O75" s="17" t="s">
        <v>147</v>
      </c>
      <c r="P75" s="32">
        <v>45267</v>
      </c>
      <c r="Q75" s="35">
        <v>4070.79646017699</v>
      </c>
      <c r="R75" s="17">
        <v>1</v>
      </c>
      <c r="S75" s="35">
        <v>4070.79646017699</v>
      </c>
      <c r="T75" s="17" t="s">
        <v>137</v>
      </c>
      <c r="U75" s="17" t="s">
        <v>138</v>
      </c>
      <c r="V75" s="17" t="s">
        <v>139</v>
      </c>
      <c r="W75" s="17"/>
    </row>
    <row r="76" spans="1:24" s="2" customFormat="1" ht="49.5" hidden="1" customHeight="1">
      <c r="B76" s="20" t="s">
        <v>11</v>
      </c>
      <c r="C76" s="17" t="str">
        <f>VLOOKUP(B76,[1]Sheet1!$A:$B,2,0)</f>
        <v>MODI</v>
      </c>
      <c r="D76" s="20" t="s">
        <v>76</v>
      </c>
      <c r="E76" s="93" t="s">
        <v>102</v>
      </c>
      <c r="F76" s="19" t="s">
        <v>51</v>
      </c>
      <c r="G76" s="17">
        <v>2023</v>
      </c>
      <c r="H76" s="17">
        <v>11</v>
      </c>
      <c r="I76" s="17" t="s">
        <v>142</v>
      </c>
      <c r="J76" s="29">
        <v>45597</v>
      </c>
      <c r="K76" s="30">
        <v>2</v>
      </c>
      <c r="L76" s="31"/>
      <c r="M76" s="31">
        <f t="shared" si="3"/>
        <v>0</v>
      </c>
      <c r="N76" s="31">
        <v>500000</v>
      </c>
      <c r="O76" s="17" t="s">
        <v>147</v>
      </c>
      <c r="P76" s="32">
        <v>45251</v>
      </c>
      <c r="Q76" s="36">
        <v>12743.3628318584</v>
      </c>
      <c r="R76" s="17">
        <v>1</v>
      </c>
      <c r="S76" s="35">
        <v>12743.3628318584</v>
      </c>
      <c r="T76" s="17" t="s">
        <v>137</v>
      </c>
      <c r="U76" s="17" t="s">
        <v>138</v>
      </c>
      <c r="V76" s="17" t="s">
        <v>139</v>
      </c>
      <c r="W76" s="17"/>
    </row>
    <row r="77" spans="1:24" s="2" customFormat="1" ht="49.5" hidden="1" customHeight="1">
      <c r="B77" s="20" t="s">
        <v>11</v>
      </c>
      <c r="C77" s="17" t="str">
        <f>VLOOKUP(B77,[1]Sheet1!$A:$B,2,0)</f>
        <v>MODI</v>
      </c>
      <c r="D77" s="20" t="s">
        <v>76</v>
      </c>
      <c r="E77" s="93" t="s">
        <v>102</v>
      </c>
      <c r="F77" s="19" t="s">
        <v>51</v>
      </c>
      <c r="G77" s="17">
        <v>2023</v>
      </c>
      <c r="H77" s="17">
        <v>11</v>
      </c>
      <c r="I77" s="17" t="s">
        <v>142</v>
      </c>
      <c r="J77" s="29">
        <v>45597</v>
      </c>
      <c r="K77" s="30">
        <v>2</v>
      </c>
      <c r="L77" s="31"/>
      <c r="M77" s="31">
        <f t="shared" si="3"/>
        <v>0</v>
      </c>
      <c r="N77" s="31">
        <v>500000</v>
      </c>
      <c r="O77" s="17" t="s">
        <v>147</v>
      </c>
      <c r="P77" s="32">
        <v>45242</v>
      </c>
      <c r="Q77" s="36">
        <v>12743.3628318584</v>
      </c>
      <c r="R77" s="17">
        <v>1</v>
      </c>
      <c r="S77" s="35">
        <v>12743.3628318584</v>
      </c>
      <c r="T77" s="17" t="s">
        <v>137</v>
      </c>
      <c r="U77" s="17" t="s">
        <v>138</v>
      </c>
      <c r="V77" s="17" t="s">
        <v>139</v>
      </c>
      <c r="W77" s="17"/>
    </row>
    <row r="78" spans="1:24" s="2" customFormat="1" ht="49.5" customHeight="1">
      <c r="B78" s="20" t="s">
        <v>11</v>
      </c>
      <c r="C78" s="17" t="str">
        <f>VLOOKUP(B78,[1]Sheet1!$A:$B,2,0)</f>
        <v>MODI</v>
      </c>
      <c r="D78" s="20" t="s">
        <v>76</v>
      </c>
      <c r="E78" s="93" t="s">
        <v>102</v>
      </c>
      <c r="F78" s="19" t="s">
        <v>51</v>
      </c>
      <c r="G78" s="17">
        <v>2023</v>
      </c>
      <c r="H78" s="17">
        <v>12</v>
      </c>
      <c r="I78" s="17" t="s">
        <v>142</v>
      </c>
      <c r="J78" s="29">
        <v>45597</v>
      </c>
      <c r="K78" s="30">
        <v>32</v>
      </c>
      <c r="L78" s="31"/>
      <c r="M78" s="31">
        <f t="shared" si="3"/>
        <v>0</v>
      </c>
      <c r="N78" s="31">
        <v>1000000</v>
      </c>
      <c r="O78" s="19" t="s">
        <v>148</v>
      </c>
      <c r="P78" s="32">
        <v>45273</v>
      </c>
      <c r="Q78" s="36">
        <v>278761.06194690301</v>
      </c>
      <c r="R78" s="17">
        <v>1</v>
      </c>
      <c r="S78" s="35">
        <v>278761.06194690301</v>
      </c>
      <c r="T78" s="17" t="s">
        <v>137</v>
      </c>
      <c r="U78" s="17" t="s">
        <v>138</v>
      </c>
      <c r="V78" s="17" t="s">
        <v>139</v>
      </c>
      <c r="W78" s="39"/>
    </row>
    <row r="79" spans="1:24" s="2" customFormat="1" ht="49.5" hidden="1" customHeight="1">
      <c r="B79" s="20" t="s">
        <v>11</v>
      </c>
      <c r="C79" s="17" t="str">
        <f>VLOOKUP(B79,[1]Sheet1!$A:$B,2,0)</f>
        <v>MODI</v>
      </c>
      <c r="D79" s="20" t="s">
        <v>76</v>
      </c>
      <c r="E79" s="93" t="s">
        <v>102</v>
      </c>
      <c r="F79" s="19" t="s">
        <v>51</v>
      </c>
      <c r="G79" s="17">
        <v>2023</v>
      </c>
      <c r="H79" s="17">
        <v>12</v>
      </c>
      <c r="I79" s="17" t="s">
        <v>142</v>
      </c>
      <c r="J79" s="29">
        <v>45597</v>
      </c>
      <c r="K79" s="30">
        <v>2</v>
      </c>
      <c r="L79" s="31"/>
      <c r="M79" s="31">
        <f t="shared" si="3"/>
        <v>0</v>
      </c>
      <c r="N79" s="31">
        <v>500000</v>
      </c>
      <c r="O79" s="17" t="s">
        <v>147</v>
      </c>
      <c r="P79" s="32">
        <v>45275</v>
      </c>
      <c r="Q79" s="36">
        <v>15044.2477876106</v>
      </c>
      <c r="R79" s="17">
        <v>1</v>
      </c>
      <c r="S79" s="35">
        <v>15044.2477876106</v>
      </c>
      <c r="T79" s="17" t="s">
        <v>137</v>
      </c>
      <c r="U79" s="17" t="s">
        <v>138</v>
      </c>
      <c r="V79" s="17" t="s">
        <v>139</v>
      </c>
      <c r="W79" s="17"/>
    </row>
    <row r="80" spans="1:24" s="2" customFormat="1" ht="49.5" customHeight="1">
      <c r="B80" s="20" t="s">
        <v>11</v>
      </c>
      <c r="C80" s="17" t="str">
        <f>VLOOKUP(B80,[1]Sheet1!$A:$B,2,0)</f>
        <v>MODI</v>
      </c>
      <c r="D80" s="20" t="s">
        <v>76</v>
      </c>
      <c r="E80" s="93" t="s">
        <v>102</v>
      </c>
      <c r="F80" s="19" t="s">
        <v>51</v>
      </c>
      <c r="G80" s="17">
        <v>2023</v>
      </c>
      <c r="H80" s="17">
        <v>12</v>
      </c>
      <c r="I80" s="17" t="s">
        <v>142</v>
      </c>
      <c r="J80" s="29">
        <v>45597</v>
      </c>
      <c r="K80" s="30">
        <v>32</v>
      </c>
      <c r="L80" s="31"/>
      <c r="M80" s="31">
        <f t="shared" si="3"/>
        <v>0</v>
      </c>
      <c r="N80" s="31">
        <v>1000000</v>
      </c>
      <c r="O80" s="17" t="s">
        <v>148</v>
      </c>
      <c r="P80" s="32">
        <v>45275</v>
      </c>
      <c r="Q80" s="36">
        <v>20796.460176991201</v>
      </c>
      <c r="R80" s="17">
        <v>1</v>
      </c>
      <c r="S80" s="35">
        <v>20796.460176991201</v>
      </c>
      <c r="T80" s="17" t="s">
        <v>137</v>
      </c>
      <c r="U80" s="17" t="s">
        <v>138</v>
      </c>
      <c r="V80" s="17" t="s">
        <v>139</v>
      </c>
      <c r="W80" s="17"/>
    </row>
    <row r="81" spans="2:24" s="2" customFormat="1" ht="49.5" hidden="1" customHeight="1">
      <c r="B81" s="20" t="s">
        <v>11</v>
      </c>
      <c r="C81" s="17" t="str">
        <f>VLOOKUP(B81,[1]Sheet1!$A:$B,2,0)</f>
        <v>MODI</v>
      </c>
      <c r="D81" s="20" t="s">
        <v>76</v>
      </c>
      <c r="E81" s="93" t="s">
        <v>102</v>
      </c>
      <c r="F81" s="19" t="s">
        <v>51</v>
      </c>
      <c r="G81" s="17">
        <v>2023</v>
      </c>
      <c r="H81" s="17">
        <v>12</v>
      </c>
      <c r="I81" s="17" t="s">
        <v>142</v>
      </c>
      <c r="J81" s="29">
        <v>45597</v>
      </c>
      <c r="K81" s="30">
        <v>2</v>
      </c>
      <c r="L81" s="31"/>
      <c r="M81" s="31">
        <f t="shared" si="3"/>
        <v>0</v>
      </c>
      <c r="N81" s="31">
        <v>500000</v>
      </c>
      <c r="O81" s="17" t="s">
        <v>147</v>
      </c>
      <c r="P81" s="32">
        <v>45287</v>
      </c>
      <c r="Q81" s="36">
        <v>6017.69911504425</v>
      </c>
      <c r="R81" s="17">
        <v>1</v>
      </c>
      <c r="S81" s="35">
        <v>6017.69911504425</v>
      </c>
      <c r="T81" s="17" t="s">
        <v>137</v>
      </c>
      <c r="U81" s="17" t="s">
        <v>138</v>
      </c>
      <c r="V81" s="17" t="s">
        <v>139</v>
      </c>
      <c r="W81" s="17"/>
    </row>
    <row r="82" spans="2:24" s="2" customFormat="1" ht="49.5" hidden="1" customHeight="1">
      <c r="B82" s="20" t="s">
        <v>11</v>
      </c>
      <c r="C82" s="17" t="str">
        <f>VLOOKUP(B82,[1]Sheet1!$A:$B,2,0)</f>
        <v>MODI</v>
      </c>
      <c r="D82" s="20" t="s">
        <v>76</v>
      </c>
      <c r="E82" s="93" t="s">
        <v>102</v>
      </c>
      <c r="F82" s="19" t="s">
        <v>51</v>
      </c>
      <c r="G82" s="17">
        <v>2023</v>
      </c>
      <c r="H82" s="17">
        <v>11</v>
      </c>
      <c r="I82" s="17" t="s">
        <v>142</v>
      </c>
      <c r="J82" s="29">
        <v>45597</v>
      </c>
      <c r="K82" s="30">
        <v>2</v>
      </c>
      <c r="L82" s="31"/>
      <c r="M82" s="31">
        <f t="shared" si="3"/>
        <v>0</v>
      </c>
      <c r="N82" s="31">
        <v>500000</v>
      </c>
      <c r="O82" s="17" t="s">
        <v>147</v>
      </c>
      <c r="P82" s="32">
        <v>45257</v>
      </c>
      <c r="Q82" s="36">
        <v>54031.858407079599</v>
      </c>
      <c r="R82" s="17">
        <v>1</v>
      </c>
      <c r="S82" s="35">
        <v>54031.858407079599</v>
      </c>
      <c r="T82" s="17" t="s">
        <v>137</v>
      </c>
      <c r="U82" s="17" t="s">
        <v>138</v>
      </c>
      <c r="V82" s="17" t="s">
        <v>139</v>
      </c>
      <c r="W82" s="39" t="s">
        <v>163</v>
      </c>
    </row>
    <row r="83" spans="2:24" s="2" customFormat="1" ht="49.5" customHeight="1">
      <c r="B83" s="20" t="s">
        <v>11</v>
      </c>
      <c r="C83" s="17" t="str">
        <f>VLOOKUP(B83,[1]Sheet1!$A:$B,2,0)</f>
        <v>MODI</v>
      </c>
      <c r="D83" s="20" t="s">
        <v>76</v>
      </c>
      <c r="E83" s="93" t="s">
        <v>102</v>
      </c>
      <c r="F83" s="19" t="s">
        <v>51</v>
      </c>
      <c r="G83" s="17">
        <v>2024</v>
      </c>
      <c r="H83" s="17">
        <v>1</v>
      </c>
      <c r="I83" s="17" t="s">
        <v>142</v>
      </c>
      <c r="J83" s="29">
        <v>45597</v>
      </c>
      <c r="K83" s="30">
        <v>32</v>
      </c>
      <c r="L83" s="31"/>
      <c r="M83" s="31">
        <f t="shared" si="3"/>
        <v>0</v>
      </c>
      <c r="N83" s="31">
        <v>1000000</v>
      </c>
      <c r="O83" s="17" t="s">
        <v>148</v>
      </c>
      <c r="P83" s="32">
        <v>45301</v>
      </c>
      <c r="Q83" s="36">
        <v>24601.769911504402</v>
      </c>
      <c r="R83" s="17">
        <v>1</v>
      </c>
      <c r="S83" s="35">
        <v>24601.769911504402</v>
      </c>
      <c r="T83" s="17" t="s">
        <v>137</v>
      </c>
      <c r="U83" s="17" t="s">
        <v>138</v>
      </c>
      <c r="V83" s="17" t="s">
        <v>139</v>
      </c>
      <c r="W83" s="17"/>
    </row>
    <row r="84" spans="2:24" s="2" customFormat="1" ht="49.5" customHeight="1">
      <c r="B84" s="19" t="s">
        <v>11</v>
      </c>
      <c r="C84" s="17" t="str">
        <f>VLOOKUP(B84,[1]Sheet1!$A:$B,2,0)</f>
        <v>MODI</v>
      </c>
      <c r="D84" s="19" t="s">
        <v>85</v>
      </c>
      <c r="E84" s="93" t="s">
        <v>103</v>
      </c>
      <c r="F84" s="19" t="s">
        <v>51</v>
      </c>
      <c r="G84" s="17">
        <v>2023</v>
      </c>
      <c r="H84" s="17">
        <v>10</v>
      </c>
      <c r="I84" s="17" t="s">
        <v>142</v>
      </c>
      <c r="J84" s="29">
        <v>45597</v>
      </c>
      <c r="K84" s="30">
        <v>32</v>
      </c>
      <c r="L84" s="31">
        <v>2552420</v>
      </c>
      <c r="M84" s="31">
        <f t="shared" si="3"/>
        <v>2552420</v>
      </c>
      <c r="N84" s="31">
        <v>1000000</v>
      </c>
      <c r="O84" s="17" t="s">
        <v>136</v>
      </c>
      <c r="P84" s="32">
        <v>45225</v>
      </c>
      <c r="Q84" s="33">
        <v>600000</v>
      </c>
      <c r="R84" s="17">
        <v>1</v>
      </c>
      <c r="S84" s="35">
        <v>600000</v>
      </c>
      <c r="T84" s="17" t="s">
        <v>137</v>
      </c>
      <c r="U84" s="17" t="s">
        <v>138</v>
      </c>
      <c r="V84" s="17" t="s">
        <v>139</v>
      </c>
      <c r="W84" s="17"/>
      <c r="X84" s="110" t="s">
        <v>162</v>
      </c>
    </row>
    <row r="85" spans="2:24" s="2" customFormat="1" ht="49.5" hidden="1" customHeight="1">
      <c r="B85" s="19" t="s">
        <v>11</v>
      </c>
      <c r="C85" s="17" t="str">
        <f>VLOOKUP(B85,[1]Sheet1!$A:$B,2,0)</f>
        <v>MODI</v>
      </c>
      <c r="D85" s="19" t="s">
        <v>85</v>
      </c>
      <c r="E85" s="93" t="s">
        <v>103</v>
      </c>
      <c r="F85" s="19" t="s">
        <v>51</v>
      </c>
      <c r="G85" s="17">
        <v>2023</v>
      </c>
      <c r="H85" s="17">
        <v>10</v>
      </c>
      <c r="I85" s="17" t="s">
        <v>142</v>
      </c>
      <c r="J85" s="29">
        <v>45597</v>
      </c>
      <c r="K85" s="30">
        <v>2</v>
      </c>
      <c r="L85" s="31"/>
      <c r="M85" s="31">
        <f t="shared" si="3"/>
        <v>0</v>
      </c>
      <c r="N85" s="31">
        <v>500000</v>
      </c>
      <c r="O85" s="17" t="s">
        <v>146</v>
      </c>
      <c r="P85" s="32">
        <v>45225</v>
      </c>
      <c r="Q85" s="35">
        <v>57522.123893805299</v>
      </c>
      <c r="R85" s="17">
        <v>1</v>
      </c>
      <c r="S85" s="35">
        <v>57522.123893805299</v>
      </c>
      <c r="T85" s="17" t="s">
        <v>137</v>
      </c>
      <c r="U85" s="17" t="s">
        <v>138</v>
      </c>
      <c r="V85" s="17" t="s">
        <v>139</v>
      </c>
      <c r="W85" s="17"/>
      <c r="X85" s="110" t="s">
        <v>162</v>
      </c>
    </row>
    <row r="86" spans="2:24" s="2" customFormat="1" ht="49.5" customHeight="1">
      <c r="B86" s="19" t="s">
        <v>11</v>
      </c>
      <c r="C86" s="17" t="str">
        <f>VLOOKUP(B86,[1]Sheet1!$A:$B,2,0)</f>
        <v>MODI</v>
      </c>
      <c r="D86" s="19" t="s">
        <v>88</v>
      </c>
      <c r="E86" s="93" t="s">
        <v>104</v>
      </c>
      <c r="F86" s="19" t="s">
        <v>51</v>
      </c>
      <c r="G86" s="17">
        <v>2023</v>
      </c>
      <c r="H86" s="17">
        <v>10</v>
      </c>
      <c r="I86" s="17" t="s">
        <v>142</v>
      </c>
      <c r="J86" s="29">
        <v>45597</v>
      </c>
      <c r="K86" s="30">
        <v>32</v>
      </c>
      <c r="L86" s="31">
        <v>2348216</v>
      </c>
      <c r="M86" s="31">
        <f t="shared" si="3"/>
        <v>2348216</v>
      </c>
      <c r="N86" s="31">
        <v>1000000</v>
      </c>
      <c r="O86" s="17" t="s">
        <v>136</v>
      </c>
      <c r="P86" s="32">
        <v>45225</v>
      </c>
      <c r="Q86" s="33">
        <v>600000</v>
      </c>
      <c r="R86" s="17">
        <v>1</v>
      </c>
      <c r="S86" s="35">
        <v>600000</v>
      </c>
      <c r="T86" s="17" t="s">
        <v>137</v>
      </c>
      <c r="U86" s="17" t="s">
        <v>138</v>
      </c>
      <c r="V86" s="17" t="s">
        <v>139</v>
      </c>
      <c r="W86" s="17"/>
      <c r="X86" s="110" t="s">
        <v>162</v>
      </c>
    </row>
    <row r="87" spans="2:24" s="2" customFormat="1" ht="49.5" hidden="1" customHeight="1">
      <c r="B87" s="19" t="s">
        <v>11</v>
      </c>
      <c r="C87" s="17" t="str">
        <f>VLOOKUP(B87,[1]Sheet1!$A:$B,2,0)</f>
        <v>MODI</v>
      </c>
      <c r="D87" s="19" t="s">
        <v>88</v>
      </c>
      <c r="E87" s="93" t="s">
        <v>104</v>
      </c>
      <c r="F87" s="19" t="s">
        <v>51</v>
      </c>
      <c r="G87" s="17">
        <v>2023</v>
      </c>
      <c r="H87" s="17">
        <v>10</v>
      </c>
      <c r="I87" s="17" t="s">
        <v>142</v>
      </c>
      <c r="J87" s="29">
        <v>45597</v>
      </c>
      <c r="K87" s="30">
        <v>2</v>
      </c>
      <c r="L87" s="31"/>
      <c r="M87" s="31">
        <f t="shared" si="3"/>
        <v>0</v>
      </c>
      <c r="N87" s="31">
        <v>500000</v>
      </c>
      <c r="O87" s="17" t="s">
        <v>146</v>
      </c>
      <c r="P87" s="32">
        <v>45225</v>
      </c>
      <c r="Q87" s="33">
        <v>61946.902654867299</v>
      </c>
      <c r="R87" s="17">
        <v>1</v>
      </c>
      <c r="S87" s="35">
        <v>61946.902654867299</v>
      </c>
      <c r="T87" s="17" t="s">
        <v>137</v>
      </c>
      <c r="U87" s="17" t="s">
        <v>138</v>
      </c>
      <c r="V87" s="17" t="s">
        <v>139</v>
      </c>
      <c r="W87" s="17"/>
      <c r="X87" s="110" t="s">
        <v>162</v>
      </c>
    </row>
    <row r="88" spans="2:24" s="2" customFormat="1" ht="49.5" hidden="1" customHeight="1">
      <c r="B88" s="19" t="s">
        <v>11</v>
      </c>
      <c r="C88" s="17" t="str">
        <f>VLOOKUP(B88,[1]Sheet1!$A:$B,2,0)</f>
        <v>MODI</v>
      </c>
      <c r="D88" s="19" t="s">
        <v>88</v>
      </c>
      <c r="E88" s="93" t="s">
        <v>104</v>
      </c>
      <c r="F88" s="19" t="s">
        <v>51</v>
      </c>
      <c r="G88" s="17">
        <v>2023</v>
      </c>
      <c r="H88" s="17">
        <v>11</v>
      </c>
      <c r="I88" s="17" t="s">
        <v>142</v>
      </c>
      <c r="J88" s="29">
        <v>45597</v>
      </c>
      <c r="K88" s="30">
        <v>2</v>
      </c>
      <c r="L88" s="31"/>
      <c r="M88" s="31">
        <f t="shared" si="3"/>
        <v>0</v>
      </c>
      <c r="N88" s="31">
        <v>500000</v>
      </c>
      <c r="O88" s="17" t="s">
        <v>147</v>
      </c>
      <c r="P88" s="32">
        <v>45244</v>
      </c>
      <c r="Q88" s="35">
        <v>10796.460176991201</v>
      </c>
      <c r="R88" s="17">
        <v>1</v>
      </c>
      <c r="S88" s="35">
        <v>10796.460176991201</v>
      </c>
      <c r="T88" s="17" t="s">
        <v>137</v>
      </c>
      <c r="U88" s="17" t="s">
        <v>138</v>
      </c>
      <c r="V88" s="17" t="s">
        <v>139</v>
      </c>
      <c r="W88" s="17"/>
    </row>
    <row r="89" spans="2:24" s="2" customFormat="1" ht="49.5" hidden="1" customHeight="1">
      <c r="B89" s="19" t="s">
        <v>11</v>
      </c>
      <c r="C89" s="17" t="str">
        <f>VLOOKUP(B89,[1]Sheet1!$A:$B,2,0)</f>
        <v>MODI</v>
      </c>
      <c r="D89" s="19" t="s">
        <v>88</v>
      </c>
      <c r="E89" s="93" t="s">
        <v>104</v>
      </c>
      <c r="F89" s="19" t="s">
        <v>51</v>
      </c>
      <c r="G89" s="17">
        <v>2023</v>
      </c>
      <c r="H89" s="17">
        <v>12</v>
      </c>
      <c r="I89" s="17" t="s">
        <v>142</v>
      </c>
      <c r="J89" s="29">
        <v>45597</v>
      </c>
      <c r="K89" s="30">
        <v>2</v>
      </c>
      <c r="L89" s="31"/>
      <c r="M89" s="31">
        <f t="shared" si="3"/>
        <v>0</v>
      </c>
      <c r="N89" s="31">
        <v>500000</v>
      </c>
      <c r="O89" s="17" t="s">
        <v>147</v>
      </c>
      <c r="P89" s="32">
        <v>45275</v>
      </c>
      <c r="Q89" s="35">
        <v>6371.6814159291998</v>
      </c>
      <c r="R89" s="17">
        <v>1</v>
      </c>
      <c r="S89" s="35">
        <v>6371.6814159291998</v>
      </c>
      <c r="T89" s="17" t="s">
        <v>137</v>
      </c>
      <c r="U89" s="17" t="s">
        <v>138</v>
      </c>
      <c r="V89" s="17" t="s">
        <v>139</v>
      </c>
      <c r="W89" s="17"/>
    </row>
    <row r="90" spans="2:24" s="2" customFormat="1" ht="49.5" customHeight="1">
      <c r="B90" s="17" t="s">
        <v>9</v>
      </c>
      <c r="C90" s="17" t="str">
        <f>VLOOKUP(B90,[1]Sheet1!$A:$B,2,0)</f>
        <v>MODI</v>
      </c>
      <c r="D90" s="17" t="s">
        <v>106</v>
      </c>
      <c r="E90" s="92" t="s">
        <v>107</v>
      </c>
      <c r="F90" s="17" t="s">
        <v>51</v>
      </c>
      <c r="G90" s="17">
        <v>2022</v>
      </c>
      <c r="H90" s="17">
        <v>11</v>
      </c>
      <c r="I90" s="17" t="s">
        <v>142</v>
      </c>
      <c r="J90" s="29">
        <v>45597</v>
      </c>
      <c r="K90" s="30">
        <v>16</v>
      </c>
      <c r="L90" s="31">
        <v>978432</v>
      </c>
      <c r="M90" s="31">
        <f t="shared" si="3"/>
        <v>1956864</v>
      </c>
      <c r="N90" s="31">
        <v>1000000</v>
      </c>
      <c r="O90" s="17" t="s">
        <v>136</v>
      </c>
      <c r="P90" s="32">
        <v>44874</v>
      </c>
      <c r="Q90" s="33">
        <v>546000</v>
      </c>
      <c r="R90" s="17">
        <v>2</v>
      </c>
      <c r="S90" s="35">
        <v>1092000</v>
      </c>
      <c r="T90" s="17" t="s">
        <v>137</v>
      </c>
      <c r="U90" s="17" t="s">
        <v>138</v>
      </c>
      <c r="V90" s="17" t="s">
        <v>139</v>
      </c>
      <c r="W90" s="17"/>
    </row>
    <row r="91" spans="2:24" s="2" customFormat="1" ht="49.5" customHeight="1">
      <c r="B91" s="17" t="s">
        <v>9</v>
      </c>
      <c r="C91" s="17" t="str">
        <f>VLOOKUP(B91,[1]Sheet1!$A:$B,2,0)</f>
        <v>MODI</v>
      </c>
      <c r="D91" s="17" t="s">
        <v>110</v>
      </c>
      <c r="E91" s="17" t="s">
        <v>111</v>
      </c>
      <c r="F91" s="17" t="s">
        <v>51</v>
      </c>
      <c r="G91" s="17">
        <v>2022</v>
      </c>
      <c r="H91" s="17">
        <v>11</v>
      </c>
      <c r="I91" s="17" t="s">
        <v>142</v>
      </c>
      <c r="J91" s="29">
        <v>45597</v>
      </c>
      <c r="K91" s="30">
        <v>16</v>
      </c>
      <c r="L91" s="31">
        <v>978432</v>
      </c>
      <c r="M91" s="31">
        <f t="shared" si="3"/>
        <v>1956864</v>
      </c>
      <c r="N91" s="31">
        <v>1000000</v>
      </c>
      <c r="O91" s="17" t="s">
        <v>136</v>
      </c>
      <c r="P91" s="32">
        <v>44874</v>
      </c>
      <c r="Q91" s="33">
        <v>455000</v>
      </c>
      <c r="R91" s="17">
        <v>2</v>
      </c>
      <c r="S91" s="35">
        <v>910000</v>
      </c>
      <c r="T91" s="17" t="s">
        <v>137</v>
      </c>
      <c r="U91" s="17" t="s">
        <v>138</v>
      </c>
      <c r="V91" s="17" t="s">
        <v>139</v>
      </c>
      <c r="W91" s="17"/>
    </row>
    <row r="92" spans="2:24" s="2" customFormat="1" ht="49.5" customHeight="1">
      <c r="B92" s="17" t="s">
        <v>6</v>
      </c>
      <c r="C92" s="17" t="s">
        <v>14</v>
      </c>
      <c r="D92" s="17" t="s">
        <v>112</v>
      </c>
      <c r="E92" s="92" t="s">
        <v>113</v>
      </c>
      <c r="F92" s="17" t="s">
        <v>114</v>
      </c>
      <c r="G92" s="17">
        <v>2022</v>
      </c>
      <c r="H92" s="17">
        <v>6</v>
      </c>
      <c r="I92" s="17" t="s">
        <v>142</v>
      </c>
      <c r="J92" s="29">
        <v>45597</v>
      </c>
      <c r="K92" s="30">
        <v>16</v>
      </c>
      <c r="L92" s="31">
        <v>1241856</v>
      </c>
      <c r="M92" s="31">
        <f t="shared" si="3"/>
        <v>21111552</v>
      </c>
      <c r="N92" s="31">
        <v>1000000</v>
      </c>
      <c r="O92" s="17" t="s">
        <v>136</v>
      </c>
      <c r="P92" s="32">
        <v>44727</v>
      </c>
      <c r="Q92" s="41">
        <f>196007.848159911*7.15</f>
        <v>1401456.1143433638</v>
      </c>
      <c r="R92" s="17">
        <v>17</v>
      </c>
      <c r="S92" s="41">
        <f>Q92*R92</f>
        <v>23824753.943837184</v>
      </c>
      <c r="T92" s="17" t="s">
        <v>137</v>
      </c>
      <c r="U92" s="17" t="s">
        <v>138</v>
      </c>
      <c r="V92" s="17" t="s">
        <v>139</v>
      </c>
      <c r="W92" s="39" t="s">
        <v>140</v>
      </c>
    </row>
    <row r="93" spans="2:24" s="2" customFormat="1" ht="49.5" customHeight="1">
      <c r="B93" s="17" t="s">
        <v>6</v>
      </c>
      <c r="C93" s="17" t="s">
        <v>14</v>
      </c>
      <c r="D93" s="17" t="s">
        <v>115</v>
      </c>
      <c r="E93" s="92" t="s">
        <v>116</v>
      </c>
      <c r="F93" s="17" t="s">
        <v>114</v>
      </c>
      <c r="G93" s="17">
        <v>2022</v>
      </c>
      <c r="H93" s="17">
        <v>6</v>
      </c>
      <c r="I93" s="17" t="s">
        <v>142</v>
      </c>
      <c r="J93" s="29">
        <v>45597</v>
      </c>
      <c r="K93" s="30">
        <v>32</v>
      </c>
      <c r="L93" s="31">
        <v>3089786</v>
      </c>
      <c r="M93" s="31">
        <f t="shared" si="3"/>
        <v>21628502</v>
      </c>
      <c r="N93" s="31">
        <v>1000000</v>
      </c>
      <c r="O93" s="17" t="s">
        <v>136</v>
      </c>
      <c r="P93" s="32">
        <v>44727</v>
      </c>
      <c r="Q93" s="41">
        <f>192200.653612917*7.15</f>
        <v>1374234.6733323566</v>
      </c>
      <c r="R93" s="17">
        <v>7</v>
      </c>
      <c r="S93" s="41">
        <f t="shared" ref="S93:S95" si="4">Q93*R93</f>
        <v>9619642.713326497</v>
      </c>
      <c r="T93" s="17" t="s">
        <v>137</v>
      </c>
      <c r="U93" s="17" t="s">
        <v>138</v>
      </c>
      <c r="V93" s="17" t="s">
        <v>139</v>
      </c>
      <c r="W93" s="39" t="s">
        <v>140</v>
      </c>
    </row>
    <row r="94" spans="2:24" s="2" customFormat="1" ht="49.5" customHeight="1">
      <c r="B94" s="17" t="s">
        <v>6</v>
      </c>
      <c r="C94" s="17" t="s">
        <v>14</v>
      </c>
      <c r="D94" s="17" t="s">
        <v>117</v>
      </c>
      <c r="E94" s="92" t="s">
        <v>118</v>
      </c>
      <c r="F94" s="17" t="s">
        <v>114</v>
      </c>
      <c r="G94" s="17">
        <v>2022</v>
      </c>
      <c r="H94" s="17">
        <v>6</v>
      </c>
      <c r="I94" s="17" t="s">
        <v>142</v>
      </c>
      <c r="J94" s="29">
        <v>45597</v>
      </c>
      <c r="K94" s="30">
        <v>32</v>
      </c>
      <c r="L94" s="31">
        <v>3075072</v>
      </c>
      <c r="M94" s="31">
        <f t="shared" si="3"/>
        <v>21525504</v>
      </c>
      <c r="N94" s="31">
        <v>1000000</v>
      </c>
      <c r="O94" s="17" t="s">
        <v>136</v>
      </c>
      <c r="P94" s="32">
        <v>44727</v>
      </c>
      <c r="Q94" s="41">
        <f>104728.486897718*7.15</f>
        <v>748808.68131868378</v>
      </c>
      <c r="R94" s="17">
        <v>7</v>
      </c>
      <c r="S94" s="41">
        <f t="shared" si="4"/>
        <v>5241660.7692307867</v>
      </c>
      <c r="T94" s="17" t="s">
        <v>137</v>
      </c>
      <c r="U94" s="17" t="s">
        <v>138</v>
      </c>
      <c r="V94" s="17" t="s">
        <v>139</v>
      </c>
      <c r="W94" s="39" t="s">
        <v>140</v>
      </c>
    </row>
    <row r="95" spans="2:24" s="2" customFormat="1" ht="49.5" customHeight="1">
      <c r="B95" s="17" t="s">
        <v>6</v>
      </c>
      <c r="C95" s="17" t="s">
        <v>14</v>
      </c>
      <c r="D95" s="17" t="s">
        <v>85</v>
      </c>
      <c r="E95" s="92" t="s">
        <v>119</v>
      </c>
      <c r="F95" s="17" t="s">
        <v>114</v>
      </c>
      <c r="G95" s="17">
        <v>2022</v>
      </c>
      <c r="H95" s="17">
        <v>6</v>
      </c>
      <c r="I95" s="17" t="s">
        <v>142</v>
      </c>
      <c r="J95" s="29">
        <v>45597</v>
      </c>
      <c r="K95" s="30">
        <v>32</v>
      </c>
      <c r="L95" s="31">
        <v>3089786</v>
      </c>
      <c r="M95" s="31">
        <f t="shared" si="3"/>
        <v>21628502</v>
      </c>
      <c r="N95" s="31">
        <v>1000000</v>
      </c>
      <c r="O95" s="17" t="s">
        <v>136</v>
      </c>
      <c r="P95" s="32">
        <v>44727</v>
      </c>
      <c r="Q95" s="41">
        <f>190008.792723022*7.15</f>
        <v>1358562.8679696072</v>
      </c>
      <c r="R95" s="17">
        <v>7</v>
      </c>
      <c r="S95" s="41">
        <f t="shared" si="4"/>
        <v>9509940.07578725</v>
      </c>
      <c r="T95" s="17" t="s">
        <v>137</v>
      </c>
      <c r="U95" s="17" t="s">
        <v>138</v>
      </c>
      <c r="V95" s="17" t="s">
        <v>139</v>
      </c>
      <c r="W95" s="39" t="s">
        <v>140</v>
      </c>
    </row>
    <row r="96" spans="2:24" s="2" customFormat="1" ht="49.5" hidden="1" customHeight="1">
      <c r="B96" s="17" t="s">
        <v>164</v>
      </c>
      <c r="C96" s="17" t="str">
        <f>VLOOKUP(B96,[1]Sheet1!$A:$B,2,0)</f>
        <v>RCS POD</v>
      </c>
      <c r="D96" s="17" t="s">
        <v>76</v>
      </c>
      <c r="E96" s="93" t="s">
        <v>165</v>
      </c>
      <c r="F96" s="17" t="s">
        <v>51</v>
      </c>
      <c r="G96" s="17">
        <v>2024</v>
      </c>
      <c r="H96" s="17">
        <v>6</v>
      </c>
      <c r="I96" s="17" t="s">
        <v>142</v>
      </c>
      <c r="J96" s="29">
        <v>45597</v>
      </c>
      <c r="K96" s="30">
        <v>2</v>
      </c>
      <c r="L96" s="31"/>
      <c r="M96" s="31">
        <f t="shared" si="3"/>
        <v>0</v>
      </c>
      <c r="N96" s="31">
        <v>500000</v>
      </c>
      <c r="O96" s="17" t="s">
        <v>146</v>
      </c>
      <c r="P96" s="32">
        <v>45454</v>
      </c>
      <c r="Q96" s="33">
        <v>81000</v>
      </c>
      <c r="R96" s="17">
        <v>1</v>
      </c>
      <c r="S96" s="35">
        <f>91530/1.13</f>
        <v>81000.000000000015</v>
      </c>
      <c r="T96" s="17" t="s">
        <v>137</v>
      </c>
      <c r="U96" s="17" t="s">
        <v>138</v>
      </c>
      <c r="V96" s="17" t="s">
        <v>139</v>
      </c>
      <c r="W96" s="17"/>
      <c r="X96" s="108" t="s">
        <v>158</v>
      </c>
    </row>
    <row r="97" spans="2:24" s="2" customFormat="1" ht="49.5" hidden="1" customHeight="1">
      <c r="B97" s="17" t="s">
        <v>164</v>
      </c>
      <c r="C97" s="17" t="str">
        <f>VLOOKUP(B97,[1]Sheet1!$A:$B,2,0)</f>
        <v>RCS POD</v>
      </c>
      <c r="D97" s="17" t="s">
        <v>166</v>
      </c>
      <c r="E97" s="93" t="s">
        <v>167</v>
      </c>
      <c r="F97" s="17" t="s">
        <v>51</v>
      </c>
      <c r="G97" s="17">
        <v>2024</v>
      </c>
      <c r="H97" s="17">
        <v>6</v>
      </c>
      <c r="I97" s="17" t="s">
        <v>142</v>
      </c>
      <c r="J97" s="29">
        <v>45597</v>
      </c>
      <c r="K97" s="30">
        <v>2</v>
      </c>
      <c r="L97" s="31"/>
      <c r="M97" s="31">
        <f t="shared" si="3"/>
        <v>0</v>
      </c>
      <c r="N97" s="31">
        <v>500000</v>
      </c>
      <c r="O97" s="17" t="s">
        <v>146</v>
      </c>
      <c r="P97" s="32">
        <v>45454</v>
      </c>
      <c r="Q97" s="33">
        <v>72000</v>
      </c>
      <c r="R97" s="17">
        <v>1</v>
      </c>
      <c r="S97" s="35">
        <f>81360/1.13</f>
        <v>72000</v>
      </c>
      <c r="T97" s="17" t="s">
        <v>137</v>
      </c>
      <c r="U97" s="17" t="s">
        <v>138</v>
      </c>
      <c r="V97" s="17" t="s">
        <v>139</v>
      </c>
      <c r="W97" s="17"/>
      <c r="X97" s="108" t="s">
        <v>158</v>
      </c>
    </row>
    <row r="98" spans="2:24" s="2" customFormat="1" ht="49.5" hidden="1" customHeight="1">
      <c r="B98" s="17" t="s">
        <v>164</v>
      </c>
      <c r="C98" s="17" t="str">
        <f>VLOOKUP(B98,[1]Sheet1!$A:$B,2,0)</f>
        <v>RCS POD</v>
      </c>
      <c r="D98" s="17" t="s">
        <v>168</v>
      </c>
      <c r="E98" s="93" t="s">
        <v>169</v>
      </c>
      <c r="F98" s="17" t="s">
        <v>51</v>
      </c>
      <c r="G98" s="17">
        <v>2024</v>
      </c>
      <c r="H98" s="17">
        <v>6</v>
      </c>
      <c r="I98" s="17" t="s">
        <v>142</v>
      </c>
      <c r="J98" s="29">
        <v>45597</v>
      </c>
      <c r="K98" s="30">
        <v>2</v>
      </c>
      <c r="L98" s="31"/>
      <c r="M98" s="31">
        <f t="shared" si="3"/>
        <v>0</v>
      </c>
      <c r="N98" s="31">
        <v>500000</v>
      </c>
      <c r="O98" s="17" t="s">
        <v>146</v>
      </c>
      <c r="P98" s="32">
        <v>45454</v>
      </c>
      <c r="Q98" s="33">
        <v>72000</v>
      </c>
      <c r="R98" s="17">
        <v>1</v>
      </c>
      <c r="S98" s="35">
        <f>81360/1.13</f>
        <v>72000</v>
      </c>
      <c r="T98" s="17" t="s">
        <v>137</v>
      </c>
      <c r="U98" s="17" t="s">
        <v>138</v>
      </c>
      <c r="V98" s="17" t="s">
        <v>139</v>
      </c>
      <c r="W98" s="17"/>
      <c r="X98" s="108" t="s">
        <v>158</v>
      </c>
    </row>
    <row r="99" spans="2:24" s="2" customFormat="1" ht="49.5" hidden="1" customHeight="1">
      <c r="B99" s="17" t="s">
        <v>164</v>
      </c>
      <c r="C99" s="17" t="str">
        <f>VLOOKUP(B99,[1]Sheet1!$A:$B,2,0)</f>
        <v>RCS POD</v>
      </c>
      <c r="D99" s="17" t="s">
        <v>166</v>
      </c>
      <c r="E99" s="92" t="s">
        <v>167</v>
      </c>
      <c r="F99" s="17" t="s">
        <v>51</v>
      </c>
      <c r="G99" s="17">
        <v>2024</v>
      </c>
      <c r="H99" s="17">
        <v>7</v>
      </c>
      <c r="I99" s="17" t="s">
        <v>142</v>
      </c>
      <c r="J99" s="29">
        <v>45597</v>
      </c>
      <c r="K99" s="30">
        <v>2</v>
      </c>
      <c r="L99" s="31"/>
      <c r="M99" s="31">
        <f t="shared" si="3"/>
        <v>0</v>
      </c>
      <c r="N99" s="31">
        <v>500000</v>
      </c>
      <c r="O99" s="17" t="s">
        <v>147</v>
      </c>
      <c r="P99" s="32">
        <v>45474</v>
      </c>
      <c r="Q99" s="33">
        <f>4800/1.13</f>
        <v>4247.787610619469</v>
      </c>
      <c r="R99" s="17">
        <v>1</v>
      </c>
      <c r="S99" s="35">
        <f>Q99*R99</f>
        <v>4247.787610619469</v>
      </c>
      <c r="T99" s="17" t="s">
        <v>137</v>
      </c>
      <c r="U99" s="17" t="s">
        <v>138</v>
      </c>
      <c r="V99" s="17" t="s">
        <v>139</v>
      </c>
      <c r="W99" s="17"/>
    </row>
    <row r="100" spans="2:24" s="2" customFormat="1" ht="49.5" hidden="1" customHeight="1">
      <c r="B100" s="17" t="s">
        <v>164</v>
      </c>
      <c r="C100" s="17" t="str">
        <f>VLOOKUP(B100,[1]Sheet1!$A:$B,2,0)</f>
        <v>RCS POD</v>
      </c>
      <c r="D100" s="17" t="s">
        <v>76</v>
      </c>
      <c r="E100" s="92" t="s">
        <v>165</v>
      </c>
      <c r="F100" s="17" t="s">
        <v>51</v>
      </c>
      <c r="G100" s="17">
        <v>2024</v>
      </c>
      <c r="H100" s="17">
        <v>8</v>
      </c>
      <c r="I100" s="17" t="s">
        <v>142</v>
      </c>
      <c r="J100" s="29">
        <v>45597</v>
      </c>
      <c r="K100" s="30">
        <v>2</v>
      </c>
      <c r="L100" s="31"/>
      <c r="M100" s="31">
        <f t="shared" si="3"/>
        <v>0</v>
      </c>
      <c r="N100" s="31">
        <v>500000</v>
      </c>
      <c r="O100" s="17" t="s">
        <v>147</v>
      </c>
      <c r="P100" s="32">
        <v>45506</v>
      </c>
      <c r="Q100" s="33">
        <f>7200/1.13</f>
        <v>6371.6814159292044</v>
      </c>
      <c r="R100" s="17">
        <v>1</v>
      </c>
      <c r="S100" s="35">
        <f>Q100*R100</f>
        <v>6371.6814159292044</v>
      </c>
      <c r="T100" s="17" t="s">
        <v>137</v>
      </c>
      <c r="U100" s="17" t="s">
        <v>138</v>
      </c>
      <c r="V100" s="17" t="s">
        <v>139</v>
      </c>
      <c r="W100" s="17"/>
    </row>
    <row r="101" spans="2:24" s="2" customFormat="1" ht="49.5" hidden="1" customHeight="1">
      <c r="B101" s="17" t="s">
        <v>164</v>
      </c>
      <c r="C101" s="17" t="str">
        <f>VLOOKUP(B101,[1]Sheet1!$A:$B,2,0)</f>
        <v>RCS POD</v>
      </c>
      <c r="D101" s="17" t="s">
        <v>76</v>
      </c>
      <c r="E101" s="92" t="s">
        <v>165</v>
      </c>
      <c r="F101" s="17" t="s">
        <v>51</v>
      </c>
      <c r="G101" s="17">
        <v>2024</v>
      </c>
      <c r="H101" s="17">
        <v>9</v>
      </c>
      <c r="I101" s="17" t="s">
        <v>142</v>
      </c>
      <c r="J101" s="29">
        <v>45597</v>
      </c>
      <c r="K101" s="30">
        <v>2</v>
      </c>
      <c r="L101" s="31"/>
      <c r="M101" s="31">
        <f t="shared" si="3"/>
        <v>0</v>
      </c>
      <c r="N101" s="31">
        <v>500000</v>
      </c>
      <c r="O101" s="17" t="s">
        <v>147</v>
      </c>
      <c r="P101" s="29">
        <v>45546</v>
      </c>
      <c r="Q101" s="33">
        <f>3500/1.13</f>
        <v>3097.3451327433631</v>
      </c>
      <c r="R101" s="17">
        <v>1</v>
      </c>
      <c r="S101" s="35">
        <f>Q101*R101</f>
        <v>3097.3451327433631</v>
      </c>
      <c r="T101" s="17" t="s">
        <v>137</v>
      </c>
      <c r="U101" s="17" t="s">
        <v>138</v>
      </c>
      <c r="V101" s="17" t="s">
        <v>139</v>
      </c>
      <c r="W101" s="17"/>
    </row>
    <row r="102" spans="2:24" s="2" customFormat="1" ht="49.5" hidden="1" customHeight="1">
      <c r="B102" s="17" t="s">
        <v>164</v>
      </c>
      <c r="C102" s="17" t="str">
        <f>VLOOKUP(B102,[1]Sheet1!$A:$B,2,0)</f>
        <v>RCS POD</v>
      </c>
      <c r="D102" s="17" t="s">
        <v>166</v>
      </c>
      <c r="E102" s="93" t="s">
        <v>167</v>
      </c>
      <c r="F102" s="17" t="s">
        <v>51</v>
      </c>
      <c r="G102" s="17">
        <v>2024</v>
      </c>
      <c r="H102" s="17">
        <v>9</v>
      </c>
      <c r="I102" s="17" t="s">
        <v>142</v>
      </c>
      <c r="J102" s="29">
        <v>45597</v>
      </c>
      <c r="K102" s="30">
        <v>2</v>
      </c>
      <c r="L102" s="31"/>
      <c r="M102" s="31">
        <f t="shared" si="3"/>
        <v>0</v>
      </c>
      <c r="N102" s="31">
        <v>500000</v>
      </c>
      <c r="O102" s="17" t="s">
        <v>147</v>
      </c>
      <c r="P102" s="29">
        <v>45546</v>
      </c>
      <c r="Q102" s="33">
        <f>4800/1.13</f>
        <v>4247.787610619469</v>
      </c>
      <c r="R102" s="17">
        <v>1</v>
      </c>
      <c r="S102" s="35">
        <f>Q102*R102</f>
        <v>4247.787610619469</v>
      </c>
      <c r="T102" s="17" t="s">
        <v>137</v>
      </c>
      <c r="U102" s="17" t="s">
        <v>138</v>
      </c>
      <c r="V102" s="17" t="s">
        <v>139</v>
      </c>
      <c r="W102" s="17"/>
    </row>
    <row r="103" spans="2:24" s="2" customFormat="1" ht="49.5" hidden="1" customHeight="1">
      <c r="B103" s="17" t="s">
        <v>164</v>
      </c>
      <c r="C103" s="17" t="str">
        <f>VLOOKUP(B103,[1]Sheet1!$A:$B,2,0)</f>
        <v>RCS POD</v>
      </c>
      <c r="D103" s="17" t="s">
        <v>76</v>
      </c>
      <c r="E103" s="93" t="s">
        <v>165</v>
      </c>
      <c r="F103" s="17" t="s">
        <v>51</v>
      </c>
      <c r="G103" s="17">
        <v>2024</v>
      </c>
      <c r="H103" s="17">
        <v>9</v>
      </c>
      <c r="I103" s="17" t="s">
        <v>142</v>
      </c>
      <c r="J103" s="29">
        <v>45597</v>
      </c>
      <c r="K103" s="30">
        <v>2</v>
      </c>
      <c r="L103" s="31"/>
      <c r="M103" s="31">
        <f t="shared" si="3"/>
        <v>0</v>
      </c>
      <c r="N103" s="31">
        <v>500000</v>
      </c>
      <c r="O103" s="17" t="s">
        <v>147</v>
      </c>
      <c r="P103" s="29">
        <v>45561</v>
      </c>
      <c r="Q103" s="33">
        <f>25600/1.13</f>
        <v>22654.867256637172</v>
      </c>
      <c r="R103" s="17">
        <v>1</v>
      </c>
      <c r="S103" s="35">
        <f>Q103*R103</f>
        <v>22654.867256637172</v>
      </c>
      <c r="T103" s="17" t="s">
        <v>137</v>
      </c>
      <c r="U103" s="17" t="s">
        <v>138</v>
      </c>
      <c r="V103" s="17" t="s">
        <v>139</v>
      </c>
      <c r="W103" s="17"/>
    </row>
    <row r="104" spans="2:24" s="2" customFormat="1" ht="49.5" hidden="1" customHeight="1">
      <c r="B104" s="19" t="s">
        <v>170</v>
      </c>
      <c r="C104" s="17" t="str">
        <f>VLOOKUP(B104,[1]Sheet1!$A:$B,2,0)</f>
        <v>MODI</v>
      </c>
      <c r="D104" s="19" t="s">
        <v>66</v>
      </c>
      <c r="E104" s="93" t="s">
        <v>171</v>
      </c>
      <c r="F104" s="19" t="s">
        <v>51</v>
      </c>
      <c r="G104" s="17">
        <v>2023</v>
      </c>
      <c r="H104" s="17">
        <v>12</v>
      </c>
      <c r="I104" s="17" t="s">
        <v>142</v>
      </c>
      <c r="J104" s="29">
        <v>45597</v>
      </c>
      <c r="K104" s="30">
        <v>2</v>
      </c>
      <c r="L104" s="31"/>
      <c r="M104" s="31">
        <f t="shared" si="3"/>
        <v>0</v>
      </c>
      <c r="N104" s="31">
        <v>500000</v>
      </c>
      <c r="O104" s="17" t="s">
        <v>147</v>
      </c>
      <c r="P104" s="29">
        <v>45272</v>
      </c>
      <c r="Q104" s="33">
        <v>6371.6814159291998</v>
      </c>
      <c r="R104" s="17">
        <v>1</v>
      </c>
      <c r="S104" s="35">
        <v>6371.6814159291998</v>
      </c>
      <c r="T104" s="17" t="s">
        <v>137</v>
      </c>
      <c r="U104" s="17" t="s">
        <v>138</v>
      </c>
      <c r="V104" s="17" t="s">
        <v>139</v>
      </c>
      <c r="W104" s="17"/>
    </row>
    <row r="105" spans="2:24" s="2" customFormat="1" ht="49.5" hidden="1" customHeight="1">
      <c r="B105" s="19" t="s">
        <v>170</v>
      </c>
      <c r="C105" s="17" t="str">
        <f>VLOOKUP(B105,[1]Sheet1!$A:$B,2,0)</f>
        <v>MODI</v>
      </c>
      <c r="D105" s="19" t="s">
        <v>66</v>
      </c>
      <c r="E105" s="93" t="s">
        <v>171</v>
      </c>
      <c r="F105" s="19" t="s">
        <v>51</v>
      </c>
      <c r="G105" s="17">
        <v>2023</v>
      </c>
      <c r="H105" s="17">
        <v>12</v>
      </c>
      <c r="I105" s="17" t="s">
        <v>142</v>
      </c>
      <c r="J105" s="29">
        <v>45597</v>
      </c>
      <c r="K105" s="30">
        <v>2</v>
      </c>
      <c r="L105" s="31"/>
      <c r="M105" s="31">
        <f t="shared" si="3"/>
        <v>0</v>
      </c>
      <c r="N105" s="31">
        <v>500000</v>
      </c>
      <c r="O105" s="17" t="s">
        <v>147</v>
      </c>
      <c r="P105" s="29">
        <v>45275</v>
      </c>
      <c r="Q105" s="33">
        <v>5575.2212389380502</v>
      </c>
      <c r="R105" s="17">
        <v>1</v>
      </c>
      <c r="S105" s="35">
        <v>5575.2212389380502</v>
      </c>
      <c r="T105" s="17" t="s">
        <v>137</v>
      </c>
      <c r="U105" s="17" t="s">
        <v>138</v>
      </c>
      <c r="V105" s="17" t="s">
        <v>139</v>
      </c>
      <c r="W105" s="17"/>
    </row>
    <row r="106" spans="2:24" s="2" customFormat="1" ht="49.5" hidden="1" customHeight="1">
      <c r="B106" s="17" t="s">
        <v>170</v>
      </c>
      <c r="C106" s="17" t="str">
        <f>VLOOKUP(B106,[1]Sheet1!$A:$B,2,0)</f>
        <v>MODI</v>
      </c>
      <c r="D106" s="17" t="s">
        <v>66</v>
      </c>
      <c r="E106" s="92" t="s">
        <v>171</v>
      </c>
      <c r="F106" s="17" t="s">
        <v>51</v>
      </c>
      <c r="G106" s="17">
        <v>2023</v>
      </c>
      <c r="H106" s="17">
        <v>12</v>
      </c>
      <c r="I106" s="17" t="s">
        <v>142</v>
      </c>
      <c r="J106" s="29">
        <v>45597</v>
      </c>
      <c r="K106" s="30">
        <v>2</v>
      </c>
      <c r="L106" s="31"/>
      <c r="M106" s="31">
        <f t="shared" si="3"/>
        <v>0</v>
      </c>
      <c r="N106" s="31">
        <v>500000</v>
      </c>
      <c r="O106" s="17" t="s">
        <v>147</v>
      </c>
      <c r="P106" s="29">
        <v>45282</v>
      </c>
      <c r="Q106" s="33">
        <v>6637.1681415929197</v>
      </c>
      <c r="R106" s="17">
        <v>1</v>
      </c>
      <c r="S106" s="35">
        <v>6637.1681415929197</v>
      </c>
      <c r="T106" s="17" t="s">
        <v>137</v>
      </c>
      <c r="U106" s="17" t="s">
        <v>138</v>
      </c>
      <c r="V106" s="17" t="s">
        <v>139</v>
      </c>
      <c r="W106" s="17"/>
    </row>
    <row r="107" spans="2:24" s="2" customFormat="1" ht="49.5" hidden="1" customHeight="1">
      <c r="B107" s="17" t="s">
        <v>170</v>
      </c>
      <c r="C107" s="17" t="str">
        <f>VLOOKUP(B107,[1]Sheet1!$A:$B,2,0)</f>
        <v>MODI</v>
      </c>
      <c r="D107" s="17" t="s">
        <v>66</v>
      </c>
      <c r="E107" s="92" t="s">
        <v>171</v>
      </c>
      <c r="F107" s="17" t="s">
        <v>51</v>
      </c>
      <c r="G107" s="17">
        <v>2023</v>
      </c>
      <c r="H107" s="17">
        <v>12</v>
      </c>
      <c r="I107" s="17" t="s">
        <v>142</v>
      </c>
      <c r="J107" s="29">
        <v>45597</v>
      </c>
      <c r="K107" s="30">
        <v>2</v>
      </c>
      <c r="L107" s="31"/>
      <c r="M107" s="31">
        <f t="shared" si="3"/>
        <v>0</v>
      </c>
      <c r="N107" s="31">
        <v>500000</v>
      </c>
      <c r="O107" s="17" t="s">
        <v>147</v>
      </c>
      <c r="P107" s="29">
        <v>45287</v>
      </c>
      <c r="Q107" s="33">
        <v>3982.30088495575</v>
      </c>
      <c r="R107" s="17">
        <v>1</v>
      </c>
      <c r="S107" s="35">
        <v>3982.30088495575</v>
      </c>
      <c r="T107" s="17" t="s">
        <v>137</v>
      </c>
      <c r="U107" s="17" t="s">
        <v>138</v>
      </c>
      <c r="V107" s="17" t="s">
        <v>139</v>
      </c>
      <c r="W107" s="17"/>
    </row>
    <row r="108" spans="2:24" s="2" customFormat="1" ht="49.5" hidden="1" customHeight="1">
      <c r="B108" s="17" t="s">
        <v>170</v>
      </c>
      <c r="C108" s="17" t="str">
        <f>VLOOKUP(B108,[1]Sheet1!$A:$B,2,0)</f>
        <v>MODI</v>
      </c>
      <c r="D108" s="17" t="s">
        <v>66</v>
      </c>
      <c r="E108" s="92" t="s">
        <v>171</v>
      </c>
      <c r="F108" s="17" t="s">
        <v>51</v>
      </c>
      <c r="G108" s="17">
        <v>2024</v>
      </c>
      <c r="H108" s="17">
        <v>4</v>
      </c>
      <c r="I108" s="17" t="s">
        <v>142</v>
      </c>
      <c r="J108" s="29">
        <v>45597</v>
      </c>
      <c r="K108" s="30">
        <v>2</v>
      </c>
      <c r="L108" s="31"/>
      <c r="M108" s="31">
        <f t="shared" si="3"/>
        <v>0</v>
      </c>
      <c r="N108" s="31">
        <v>500000</v>
      </c>
      <c r="O108" s="17" t="s">
        <v>147</v>
      </c>
      <c r="P108" s="42">
        <v>45398</v>
      </c>
      <c r="Q108" s="33">
        <v>4336.2831858407098</v>
      </c>
      <c r="R108" s="17">
        <v>1</v>
      </c>
      <c r="S108" s="35">
        <v>4336.2831858407098</v>
      </c>
      <c r="T108" s="17" t="s">
        <v>137</v>
      </c>
      <c r="U108" s="17" t="s">
        <v>138</v>
      </c>
      <c r="V108" s="17" t="s">
        <v>139</v>
      </c>
      <c r="W108" s="17"/>
    </row>
    <row r="109" spans="2:24" s="2" customFormat="1" ht="49.5" hidden="1" customHeight="1">
      <c r="B109" s="17" t="s">
        <v>170</v>
      </c>
      <c r="C109" s="17" t="str">
        <f>VLOOKUP(B109,[1]Sheet1!$A:$B,2,0)</f>
        <v>MODI</v>
      </c>
      <c r="D109" s="17" t="s">
        <v>66</v>
      </c>
      <c r="E109" s="92" t="s">
        <v>171</v>
      </c>
      <c r="F109" s="17" t="s">
        <v>51</v>
      </c>
      <c r="G109" s="17">
        <v>2024</v>
      </c>
      <c r="H109" s="17">
        <v>4</v>
      </c>
      <c r="I109" s="17" t="s">
        <v>142</v>
      </c>
      <c r="J109" s="29">
        <v>45597</v>
      </c>
      <c r="K109" s="30">
        <v>2</v>
      </c>
      <c r="L109" s="31"/>
      <c r="M109" s="31">
        <f t="shared" si="3"/>
        <v>0</v>
      </c>
      <c r="N109" s="31">
        <v>500000</v>
      </c>
      <c r="O109" s="17" t="s">
        <v>147</v>
      </c>
      <c r="P109" s="42">
        <v>45404</v>
      </c>
      <c r="Q109" s="33">
        <v>4513.2743362831898</v>
      </c>
      <c r="R109" s="17">
        <v>1</v>
      </c>
      <c r="S109" s="35">
        <v>4513.2743362831898</v>
      </c>
      <c r="T109" s="17" t="s">
        <v>137</v>
      </c>
      <c r="U109" s="17" t="s">
        <v>138</v>
      </c>
      <c r="V109" s="17" t="s">
        <v>139</v>
      </c>
      <c r="W109" s="17"/>
    </row>
    <row r="110" spans="2:24" s="2" customFormat="1" ht="49.5" hidden="1" customHeight="1">
      <c r="B110" s="17" t="s">
        <v>170</v>
      </c>
      <c r="C110" s="17" t="str">
        <f>VLOOKUP(B110,[1]Sheet1!$A:$B,2,0)</f>
        <v>MODI</v>
      </c>
      <c r="D110" s="17" t="s">
        <v>63</v>
      </c>
      <c r="E110" s="92" t="s">
        <v>172</v>
      </c>
      <c r="F110" s="17" t="s">
        <v>51</v>
      </c>
      <c r="G110" s="17">
        <v>2023</v>
      </c>
      <c r="H110" s="17">
        <v>10</v>
      </c>
      <c r="I110" s="17" t="s">
        <v>142</v>
      </c>
      <c r="J110" s="29">
        <v>45597</v>
      </c>
      <c r="K110" s="30">
        <v>2</v>
      </c>
      <c r="L110" s="31"/>
      <c r="M110" s="31">
        <f t="shared" si="3"/>
        <v>0</v>
      </c>
      <c r="N110" s="31">
        <v>500000</v>
      </c>
      <c r="O110" s="17" t="s">
        <v>147</v>
      </c>
      <c r="P110" s="29">
        <v>45230</v>
      </c>
      <c r="Q110" s="33">
        <v>27433.628318584098</v>
      </c>
      <c r="R110" s="17">
        <v>1</v>
      </c>
      <c r="S110" s="35">
        <v>27433.628318584098</v>
      </c>
      <c r="T110" s="17" t="s">
        <v>137</v>
      </c>
      <c r="U110" s="17" t="s">
        <v>138</v>
      </c>
      <c r="V110" s="17" t="s">
        <v>139</v>
      </c>
      <c r="W110" s="17"/>
    </row>
    <row r="111" spans="2:24" s="2" customFormat="1" ht="49.5" hidden="1" customHeight="1">
      <c r="B111" s="17" t="s">
        <v>170</v>
      </c>
      <c r="C111" s="17" t="str">
        <f>VLOOKUP(B111,[1]Sheet1!$A:$B,2,0)</f>
        <v>MODI</v>
      </c>
      <c r="D111" s="17" t="s">
        <v>63</v>
      </c>
      <c r="E111" s="92" t="s">
        <v>172</v>
      </c>
      <c r="F111" s="17" t="s">
        <v>51</v>
      </c>
      <c r="G111" s="17">
        <v>2023</v>
      </c>
      <c r="H111" s="17">
        <v>11</v>
      </c>
      <c r="I111" s="17" t="s">
        <v>142</v>
      </c>
      <c r="J111" s="29">
        <v>45597</v>
      </c>
      <c r="K111" s="30">
        <v>2</v>
      </c>
      <c r="L111" s="31"/>
      <c r="M111" s="31">
        <f t="shared" si="3"/>
        <v>0</v>
      </c>
      <c r="N111" s="31">
        <v>500000</v>
      </c>
      <c r="O111" s="17" t="s">
        <v>147</v>
      </c>
      <c r="P111" s="29">
        <v>45240</v>
      </c>
      <c r="Q111" s="33">
        <v>3982.30088495575</v>
      </c>
      <c r="R111" s="17">
        <v>1</v>
      </c>
      <c r="S111" s="35">
        <v>3982.30088495575</v>
      </c>
      <c r="T111" s="17" t="s">
        <v>137</v>
      </c>
      <c r="U111" s="17" t="s">
        <v>138</v>
      </c>
      <c r="V111" s="17" t="s">
        <v>139</v>
      </c>
      <c r="W111" s="17"/>
    </row>
    <row r="112" spans="2:24" s="2" customFormat="1" ht="49.5" hidden="1" customHeight="1">
      <c r="B112" s="17" t="s">
        <v>170</v>
      </c>
      <c r="C112" s="17" t="str">
        <f>VLOOKUP(B112,[1]Sheet1!$A:$B,2,0)</f>
        <v>MODI</v>
      </c>
      <c r="D112" s="17" t="s">
        <v>63</v>
      </c>
      <c r="E112" s="92" t="s">
        <v>172</v>
      </c>
      <c r="F112" s="17" t="s">
        <v>51</v>
      </c>
      <c r="G112" s="17">
        <v>2023</v>
      </c>
      <c r="H112" s="17">
        <v>12</v>
      </c>
      <c r="I112" s="17" t="s">
        <v>142</v>
      </c>
      <c r="J112" s="29">
        <v>45597</v>
      </c>
      <c r="K112" s="30">
        <v>2</v>
      </c>
      <c r="L112" s="31"/>
      <c r="M112" s="31">
        <f t="shared" si="3"/>
        <v>0</v>
      </c>
      <c r="N112" s="31">
        <v>500000</v>
      </c>
      <c r="O112" s="17" t="s">
        <v>147</v>
      </c>
      <c r="P112" s="29">
        <v>45266</v>
      </c>
      <c r="Q112" s="33">
        <v>5575.2212389380502</v>
      </c>
      <c r="R112" s="17">
        <v>1</v>
      </c>
      <c r="S112" s="35">
        <v>5575.2212389380502</v>
      </c>
      <c r="T112" s="17" t="s">
        <v>137</v>
      </c>
      <c r="U112" s="17" t="s">
        <v>138</v>
      </c>
      <c r="V112" s="17" t="s">
        <v>139</v>
      </c>
      <c r="W112" s="17"/>
    </row>
    <row r="113" spans="2:23" s="2" customFormat="1" ht="49.5" hidden="1" customHeight="1">
      <c r="B113" s="17" t="s">
        <v>170</v>
      </c>
      <c r="C113" s="17" t="str">
        <f>VLOOKUP(B113,[1]Sheet1!$A:$B,2,0)</f>
        <v>MODI</v>
      </c>
      <c r="D113" s="17" t="s">
        <v>63</v>
      </c>
      <c r="E113" s="92" t="s">
        <v>172</v>
      </c>
      <c r="F113" s="17" t="s">
        <v>51</v>
      </c>
      <c r="G113" s="17">
        <v>2023</v>
      </c>
      <c r="H113" s="17">
        <v>12</v>
      </c>
      <c r="I113" s="17" t="s">
        <v>142</v>
      </c>
      <c r="J113" s="29">
        <v>45597</v>
      </c>
      <c r="K113" s="30">
        <v>2</v>
      </c>
      <c r="L113" s="31"/>
      <c r="M113" s="31">
        <f t="shared" si="3"/>
        <v>0</v>
      </c>
      <c r="N113" s="31">
        <v>500000</v>
      </c>
      <c r="O113" s="17" t="s">
        <v>147</v>
      </c>
      <c r="P113" s="29">
        <v>45272</v>
      </c>
      <c r="Q113" s="33">
        <v>12743.3628318584</v>
      </c>
      <c r="R113" s="17">
        <v>1</v>
      </c>
      <c r="S113" s="35">
        <v>12743.3628318584</v>
      </c>
      <c r="T113" s="17" t="s">
        <v>137</v>
      </c>
      <c r="U113" s="17" t="s">
        <v>138</v>
      </c>
      <c r="V113" s="17" t="s">
        <v>139</v>
      </c>
      <c r="W113" s="17"/>
    </row>
    <row r="114" spans="2:23" s="2" customFormat="1" ht="49.5" hidden="1" customHeight="1">
      <c r="B114" s="17" t="s">
        <v>170</v>
      </c>
      <c r="C114" s="17" t="str">
        <f>VLOOKUP(B114,[1]Sheet1!$A:$B,2,0)</f>
        <v>MODI</v>
      </c>
      <c r="D114" s="17" t="s">
        <v>63</v>
      </c>
      <c r="E114" s="92" t="s">
        <v>172</v>
      </c>
      <c r="F114" s="17" t="s">
        <v>51</v>
      </c>
      <c r="G114" s="17">
        <v>2023</v>
      </c>
      <c r="H114" s="17">
        <v>12</v>
      </c>
      <c r="I114" s="17" t="s">
        <v>142</v>
      </c>
      <c r="J114" s="29">
        <v>45597</v>
      </c>
      <c r="K114" s="30">
        <v>2</v>
      </c>
      <c r="L114" s="31"/>
      <c r="M114" s="31">
        <f t="shared" si="3"/>
        <v>0</v>
      </c>
      <c r="N114" s="31">
        <v>500000</v>
      </c>
      <c r="O114" s="17" t="s">
        <v>147</v>
      </c>
      <c r="P114" s="29">
        <v>45278</v>
      </c>
      <c r="Q114" s="33">
        <v>4955.7522123893796</v>
      </c>
      <c r="R114" s="17">
        <v>1</v>
      </c>
      <c r="S114" s="35">
        <v>4955.7522123893796</v>
      </c>
      <c r="T114" s="17" t="s">
        <v>137</v>
      </c>
      <c r="U114" s="17" t="s">
        <v>138</v>
      </c>
      <c r="V114" s="17" t="s">
        <v>139</v>
      </c>
      <c r="W114" s="17"/>
    </row>
    <row r="115" spans="2:23" s="2" customFormat="1" ht="49.5" hidden="1" customHeight="1">
      <c r="B115" s="17" t="s">
        <v>170</v>
      </c>
      <c r="C115" s="17" t="str">
        <f>VLOOKUP(B115,[1]Sheet1!$A:$B,2,0)</f>
        <v>MODI</v>
      </c>
      <c r="D115" s="17" t="s">
        <v>63</v>
      </c>
      <c r="E115" s="92" t="s">
        <v>172</v>
      </c>
      <c r="F115" s="17" t="s">
        <v>51</v>
      </c>
      <c r="G115" s="17">
        <v>2023</v>
      </c>
      <c r="H115" s="17">
        <v>12</v>
      </c>
      <c r="I115" s="17" t="s">
        <v>142</v>
      </c>
      <c r="J115" s="29">
        <v>45597</v>
      </c>
      <c r="K115" s="30">
        <v>2</v>
      </c>
      <c r="L115" s="31"/>
      <c r="M115" s="31">
        <f t="shared" si="3"/>
        <v>0</v>
      </c>
      <c r="N115" s="31">
        <v>500000</v>
      </c>
      <c r="O115" s="17" t="s">
        <v>147</v>
      </c>
      <c r="P115" s="29">
        <v>45280</v>
      </c>
      <c r="Q115" s="33">
        <v>5752.2123893805301</v>
      </c>
      <c r="R115" s="17">
        <v>1</v>
      </c>
      <c r="S115" s="35">
        <v>5752.2123893805301</v>
      </c>
      <c r="T115" s="17" t="s">
        <v>137</v>
      </c>
      <c r="U115" s="17" t="s">
        <v>138</v>
      </c>
      <c r="V115" s="17" t="s">
        <v>139</v>
      </c>
      <c r="W115" s="17"/>
    </row>
    <row r="116" spans="2:23" s="2" customFormat="1" ht="49.5" hidden="1" customHeight="1">
      <c r="B116" s="17" t="s">
        <v>170</v>
      </c>
      <c r="C116" s="17" t="str">
        <f>VLOOKUP(B116,[1]Sheet1!$A:$B,2,0)</f>
        <v>MODI</v>
      </c>
      <c r="D116" s="17" t="s">
        <v>63</v>
      </c>
      <c r="E116" s="92" t="s">
        <v>172</v>
      </c>
      <c r="F116" s="17" t="s">
        <v>51</v>
      </c>
      <c r="G116" s="17">
        <v>2023</v>
      </c>
      <c r="H116" s="17">
        <v>12</v>
      </c>
      <c r="I116" s="17" t="s">
        <v>142</v>
      </c>
      <c r="J116" s="29">
        <v>45597</v>
      </c>
      <c r="K116" s="30">
        <v>2</v>
      </c>
      <c r="L116" s="31"/>
      <c r="M116" s="31">
        <f t="shared" si="3"/>
        <v>0</v>
      </c>
      <c r="N116" s="31">
        <v>500000</v>
      </c>
      <c r="O116" s="17" t="s">
        <v>147</v>
      </c>
      <c r="P116" s="29">
        <v>45283</v>
      </c>
      <c r="Q116" s="33">
        <v>4513.2743362831898</v>
      </c>
      <c r="R116" s="17">
        <v>1</v>
      </c>
      <c r="S116" s="35">
        <v>4513.2743362831898</v>
      </c>
      <c r="T116" s="17" t="s">
        <v>137</v>
      </c>
      <c r="U116" s="17" t="s">
        <v>138</v>
      </c>
      <c r="V116" s="17" t="s">
        <v>139</v>
      </c>
      <c r="W116" s="17"/>
    </row>
    <row r="117" spans="2:23" s="2" customFormat="1" ht="49.5" hidden="1" customHeight="1">
      <c r="B117" s="17" t="s">
        <v>170</v>
      </c>
      <c r="C117" s="17" t="str">
        <f>VLOOKUP(B117,[1]Sheet1!$A:$B,2,0)</f>
        <v>MODI</v>
      </c>
      <c r="D117" s="17" t="s">
        <v>173</v>
      </c>
      <c r="E117" s="92" t="s">
        <v>174</v>
      </c>
      <c r="F117" s="17" t="s">
        <v>51</v>
      </c>
      <c r="G117" s="17">
        <v>2023</v>
      </c>
      <c r="H117" s="17">
        <v>11</v>
      </c>
      <c r="I117" s="17" t="s">
        <v>142</v>
      </c>
      <c r="J117" s="29">
        <v>45597</v>
      </c>
      <c r="K117" s="30">
        <v>2</v>
      </c>
      <c r="L117" s="31"/>
      <c r="M117" s="31">
        <f t="shared" si="3"/>
        <v>0</v>
      </c>
      <c r="N117" s="31">
        <v>500000</v>
      </c>
      <c r="O117" s="17" t="s">
        <v>147</v>
      </c>
      <c r="P117" s="29">
        <v>45240</v>
      </c>
      <c r="Q117" s="33">
        <v>3274.3362831858399</v>
      </c>
      <c r="R117" s="17">
        <v>1</v>
      </c>
      <c r="S117" s="35">
        <v>3274.3362831858399</v>
      </c>
      <c r="T117" s="17" t="s">
        <v>137</v>
      </c>
      <c r="U117" s="17" t="s">
        <v>138</v>
      </c>
      <c r="V117" s="17" t="s">
        <v>139</v>
      </c>
      <c r="W117" s="17"/>
    </row>
    <row r="118" spans="2:23" s="2" customFormat="1" ht="49.5" hidden="1" customHeight="1">
      <c r="B118" s="17" t="s">
        <v>170</v>
      </c>
      <c r="C118" s="17" t="str">
        <f>VLOOKUP(B118,[1]Sheet1!$A:$B,2,0)</f>
        <v>MODI</v>
      </c>
      <c r="D118" s="17" t="s">
        <v>173</v>
      </c>
      <c r="E118" s="92" t="s">
        <v>174</v>
      </c>
      <c r="F118" s="17" t="s">
        <v>51</v>
      </c>
      <c r="G118" s="17">
        <v>2023</v>
      </c>
      <c r="H118" s="17">
        <v>12</v>
      </c>
      <c r="I118" s="17" t="s">
        <v>142</v>
      </c>
      <c r="J118" s="29">
        <v>45597</v>
      </c>
      <c r="K118" s="30">
        <v>2</v>
      </c>
      <c r="L118" s="31"/>
      <c r="M118" s="31">
        <f t="shared" si="3"/>
        <v>0</v>
      </c>
      <c r="N118" s="31">
        <v>500000</v>
      </c>
      <c r="O118" s="17" t="s">
        <v>147</v>
      </c>
      <c r="P118" s="29">
        <v>45265</v>
      </c>
      <c r="Q118" s="33">
        <v>6371.6814159291998</v>
      </c>
      <c r="R118" s="17">
        <v>1</v>
      </c>
      <c r="S118" s="35">
        <v>6371.6814159291998</v>
      </c>
      <c r="T118" s="17" t="s">
        <v>137</v>
      </c>
      <c r="U118" s="17" t="s">
        <v>138</v>
      </c>
      <c r="V118" s="17" t="s">
        <v>139</v>
      </c>
      <c r="W118" s="17"/>
    </row>
    <row r="119" spans="2:23" s="2" customFormat="1" ht="49.5" hidden="1" customHeight="1">
      <c r="B119" s="17" t="s">
        <v>170</v>
      </c>
      <c r="C119" s="17" t="str">
        <f>VLOOKUP(B119,[1]Sheet1!$A:$B,2,0)</f>
        <v>MODI</v>
      </c>
      <c r="D119" s="17" t="s">
        <v>173</v>
      </c>
      <c r="E119" s="92" t="s">
        <v>174</v>
      </c>
      <c r="F119" s="17" t="s">
        <v>51</v>
      </c>
      <c r="G119" s="17">
        <v>2023</v>
      </c>
      <c r="H119" s="17">
        <v>12</v>
      </c>
      <c r="I119" s="17" t="s">
        <v>142</v>
      </c>
      <c r="J119" s="29">
        <v>45597</v>
      </c>
      <c r="K119" s="30">
        <v>2</v>
      </c>
      <c r="L119" s="31"/>
      <c r="M119" s="31">
        <f t="shared" si="3"/>
        <v>0</v>
      </c>
      <c r="N119" s="31">
        <v>500000</v>
      </c>
      <c r="O119" s="17" t="s">
        <v>147</v>
      </c>
      <c r="P119" s="29">
        <v>45278</v>
      </c>
      <c r="Q119" s="33">
        <v>7699.1150442477901</v>
      </c>
      <c r="R119" s="17">
        <v>1</v>
      </c>
      <c r="S119" s="35">
        <v>7699.1150442477901</v>
      </c>
      <c r="T119" s="17" t="s">
        <v>137</v>
      </c>
      <c r="U119" s="17" t="s">
        <v>138</v>
      </c>
      <c r="V119" s="17" t="s">
        <v>139</v>
      </c>
      <c r="W119" s="17"/>
    </row>
    <row r="120" spans="2:23" s="2" customFormat="1" ht="49.5" hidden="1" customHeight="1">
      <c r="B120" s="17" t="s">
        <v>170</v>
      </c>
      <c r="C120" s="17" t="str">
        <f>VLOOKUP(B120,[1]Sheet1!$A:$B,2,0)</f>
        <v>MODI</v>
      </c>
      <c r="D120" s="17" t="s">
        <v>173</v>
      </c>
      <c r="E120" s="92" t="s">
        <v>174</v>
      </c>
      <c r="F120" s="17" t="s">
        <v>51</v>
      </c>
      <c r="G120" s="17">
        <v>2023</v>
      </c>
      <c r="H120" s="17">
        <v>12</v>
      </c>
      <c r="I120" s="17" t="s">
        <v>142</v>
      </c>
      <c r="J120" s="29">
        <v>45597</v>
      </c>
      <c r="K120" s="30">
        <v>2</v>
      </c>
      <c r="L120" s="31"/>
      <c r="M120" s="31">
        <f t="shared" si="3"/>
        <v>0</v>
      </c>
      <c r="N120" s="31">
        <v>500000</v>
      </c>
      <c r="O120" s="17" t="s">
        <v>147</v>
      </c>
      <c r="P120" s="29">
        <v>45283</v>
      </c>
      <c r="Q120" s="33">
        <v>5486.7256637168102</v>
      </c>
      <c r="R120" s="17">
        <v>1</v>
      </c>
      <c r="S120" s="35">
        <v>5486.7256637168102</v>
      </c>
      <c r="T120" s="17" t="s">
        <v>137</v>
      </c>
      <c r="U120" s="17" t="s">
        <v>138</v>
      </c>
      <c r="V120" s="17" t="s">
        <v>139</v>
      </c>
      <c r="W120" s="17"/>
    </row>
    <row r="121" spans="2:23" s="2" customFormat="1" ht="49.5" hidden="1" customHeight="1">
      <c r="B121" s="17" t="s">
        <v>170</v>
      </c>
      <c r="C121" s="17" t="str">
        <f>VLOOKUP(B121,[1]Sheet1!$A:$B,2,0)</f>
        <v>MODI</v>
      </c>
      <c r="D121" s="17" t="s">
        <v>63</v>
      </c>
      <c r="E121" s="92" t="s">
        <v>172</v>
      </c>
      <c r="F121" s="17" t="s">
        <v>51</v>
      </c>
      <c r="G121" s="17">
        <v>2024</v>
      </c>
      <c r="H121" s="17">
        <v>1</v>
      </c>
      <c r="I121" s="17" t="s">
        <v>142</v>
      </c>
      <c r="J121" s="29">
        <v>45597</v>
      </c>
      <c r="K121" s="30">
        <v>2</v>
      </c>
      <c r="L121" s="31"/>
      <c r="M121" s="31">
        <f t="shared" si="3"/>
        <v>0</v>
      </c>
      <c r="N121" s="31">
        <v>500000</v>
      </c>
      <c r="O121" s="17" t="s">
        <v>147</v>
      </c>
      <c r="P121" s="29">
        <v>45317</v>
      </c>
      <c r="Q121" s="33">
        <v>7598.2300884955803</v>
      </c>
      <c r="R121" s="17">
        <v>1</v>
      </c>
      <c r="S121" s="35">
        <v>7598.2300884955803</v>
      </c>
      <c r="T121" s="17" t="s">
        <v>137</v>
      </c>
      <c r="U121" s="17" t="s">
        <v>138</v>
      </c>
      <c r="V121" s="17" t="s">
        <v>139</v>
      </c>
      <c r="W121" s="39" t="s">
        <v>163</v>
      </c>
    </row>
    <row r="122" spans="2:23" s="2" customFormat="1" ht="49.5" hidden="1" customHeight="1">
      <c r="B122" s="17" t="s">
        <v>170</v>
      </c>
      <c r="C122" s="17" t="str">
        <f>VLOOKUP(B122,[1]Sheet1!$A:$B,2,0)</f>
        <v>MODI</v>
      </c>
      <c r="D122" s="17" t="s">
        <v>173</v>
      </c>
      <c r="E122" s="92" t="s">
        <v>174</v>
      </c>
      <c r="F122" s="17" t="s">
        <v>51</v>
      </c>
      <c r="G122" s="17">
        <v>2024</v>
      </c>
      <c r="H122" s="17">
        <v>3</v>
      </c>
      <c r="I122" s="17" t="s">
        <v>142</v>
      </c>
      <c r="J122" s="29">
        <v>45597</v>
      </c>
      <c r="K122" s="30">
        <v>2</v>
      </c>
      <c r="L122" s="31"/>
      <c r="M122" s="31">
        <f t="shared" si="3"/>
        <v>0</v>
      </c>
      <c r="N122" s="31">
        <v>500000</v>
      </c>
      <c r="O122" s="17" t="s">
        <v>147</v>
      </c>
      <c r="P122" s="29">
        <v>45378</v>
      </c>
      <c r="Q122" s="33">
        <v>5752.2123893805301</v>
      </c>
      <c r="R122" s="17">
        <v>1</v>
      </c>
      <c r="S122" s="35">
        <v>5752.2123893805301</v>
      </c>
      <c r="T122" s="17" t="s">
        <v>137</v>
      </c>
      <c r="U122" s="17" t="s">
        <v>138</v>
      </c>
      <c r="V122" s="17" t="s">
        <v>139</v>
      </c>
      <c r="W122" s="17"/>
    </row>
    <row r="123" spans="2:23" s="2" customFormat="1" ht="49.5" hidden="1" customHeight="1">
      <c r="B123" s="17" t="s">
        <v>170</v>
      </c>
      <c r="C123" s="17" t="str">
        <f>VLOOKUP(B123,[1]Sheet1!$A:$B,2,0)</f>
        <v>MODI</v>
      </c>
      <c r="D123" s="17" t="s">
        <v>85</v>
      </c>
      <c r="E123" s="17" t="s">
        <v>160</v>
      </c>
      <c r="F123" s="17" t="s">
        <v>51</v>
      </c>
      <c r="G123" s="17">
        <v>2024</v>
      </c>
      <c r="H123" s="17">
        <v>1</v>
      </c>
      <c r="I123" s="17" t="s">
        <v>142</v>
      </c>
      <c r="J123" s="29">
        <v>45597</v>
      </c>
      <c r="K123" s="30">
        <v>2</v>
      </c>
      <c r="L123" s="31"/>
      <c r="M123" s="31">
        <f t="shared" si="3"/>
        <v>0</v>
      </c>
      <c r="N123" s="31">
        <v>500000</v>
      </c>
      <c r="O123" s="17" t="s">
        <v>147</v>
      </c>
      <c r="P123" s="29">
        <v>45320</v>
      </c>
      <c r="Q123" s="33">
        <v>6017.69911504425</v>
      </c>
      <c r="R123" s="17">
        <v>1</v>
      </c>
      <c r="S123" s="35">
        <v>6017.69911504425</v>
      </c>
      <c r="T123" s="17" t="s">
        <v>137</v>
      </c>
      <c r="U123" s="17" t="s">
        <v>138</v>
      </c>
      <c r="V123" s="17" t="s">
        <v>139</v>
      </c>
      <c r="W123" s="17"/>
    </row>
    <row r="124" spans="2:23" s="2" customFormat="1" ht="49.5" hidden="1" customHeight="1">
      <c r="B124" s="17" t="s">
        <v>170</v>
      </c>
      <c r="C124" s="17" t="str">
        <f>VLOOKUP(B124,[1]Sheet1!$A:$B,2,0)</f>
        <v>MODI</v>
      </c>
      <c r="D124" s="17" t="s">
        <v>85</v>
      </c>
      <c r="E124" s="17" t="s">
        <v>160</v>
      </c>
      <c r="F124" s="17" t="s">
        <v>51</v>
      </c>
      <c r="G124" s="17">
        <v>2024</v>
      </c>
      <c r="H124" s="17">
        <v>1</v>
      </c>
      <c r="I124" s="17" t="s">
        <v>142</v>
      </c>
      <c r="J124" s="29">
        <v>45597</v>
      </c>
      <c r="K124" s="30">
        <v>2</v>
      </c>
      <c r="L124" s="31"/>
      <c r="M124" s="31">
        <f t="shared" si="3"/>
        <v>0</v>
      </c>
      <c r="N124" s="31">
        <v>500000</v>
      </c>
      <c r="O124" s="17" t="s">
        <v>147</v>
      </c>
      <c r="P124" s="29">
        <v>45296</v>
      </c>
      <c r="Q124" s="33">
        <v>28318.5840707965</v>
      </c>
      <c r="R124" s="17">
        <v>1</v>
      </c>
      <c r="S124" s="35">
        <v>28318.5840707965</v>
      </c>
      <c r="T124" s="17" t="s">
        <v>137</v>
      </c>
      <c r="U124" s="17" t="s">
        <v>138</v>
      </c>
      <c r="V124" s="17" t="s">
        <v>139</v>
      </c>
      <c r="W124" s="17"/>
    </row>
    <row r="125" spans="2:23" s="2" customFormat="1" ht="49.5" hidden="1" customHeight="1">
      <c r="B125" s="17" t="s">
        <v>170</v>
      </c>
      <c r="C125" s="17" t="str">
        <f>VLOOKUP(B125,[1]Sheet1!$A:$B,2,0)</f>
        <v>MODI</v>
      </c>
      <c r="D125" s="17" t="s">
        <v>88</v>
      </c>
      <c r="E125" s="17" t="s">
        <v>160</v>
      </c>
      <c r="F125" s="17" t="s">
        <v>51</v>
      </c>
      <c r="G125" s="17">
        <v>2023</v>
      </c>
      <c r="H125" s="17">
        <v>9</v>
      </c>
      <c r="I125" s="17" t="s">
        <v>142</v>
      </c>
      <c r="J125" s="29">
        <v>45597</v>
      </c>
      <c r="K125" s="30">
        <v>2</v>
      </c>
      <c r="L125" s="31"/>
      <c r="M125" s="31">
        <f t="shared" si="3"/>
        <v>0</v>
      </c>
      <c r="N125" s="31">
        <v>500000</v>
      </c>
      <c r="O125" s="17" t="s">
        <v>147</v>
      </c>
      <c r="P125" s="29">
        <v>45197</v>
      </c>
      <c r="Q125" s="33">
        <v>3539.8230088495602</v>
      </c>
      <c r="R125" s="17">
        <v>1</v>
      </c>
      <c r="S125" s="35">
        <v>3539.8230088495602</v>
      </c>
      <c r="T125" s="17" t="s">
        <v>137</v>
      </c>
      <c r="U125" s="17" t="s">
        <v>138</v>
      </c>
      <c r="V125" s="17" t="s">
        <v>139</v>
      </c>
      <c r="W125" s="17"/>
    </row>
    <row r="126" spans="2:23" s="2" customFormat="1" ht="49.5" hidden="1" customHeight="1">
      <c r="B126" s="17" t="s">
        <v>170</v>
      </c>
      <c r="C126" s="17" t="str">
        <f>VLOOKUP(B126,[1]Sheet1!$A:$B,2,0)</f>
        <v>MODI</v>
      </c>
      <c r="D126" s="17" t="s">
        <v>91</v>
      </c>
      <c r="E126" s="92" t="s">
        <v>175</v>
      </c>
      <c r="F126" s="17" t="s">
        <v>51</v>
      </c>
      <c r="G126" s="17">
        <v>2023</v>
      </c>
      <c r="H126" s="17">
        <v>11</v>
      </c>
      <c r="I126" s="17" t="s">
        <v>142</v>
      </c>
      <c r="J126" s="29">
        <v>45597</v>
      </c>
      <c r="K126" s="30">
        <v>2</v>
      </c>
      <c r="L126" s="31"/>
      <c r="M126" s="31">
        <f t="shared" si="3"/>
        <v>0</v>
      </c>
      <c r="N126" s="31">
        <v>500000</v>
      </c>
      <c r="O126" s="17" t="s">
        <v>147</v>
      </c>
      <c r="P126" s="29">
        <v>45240</v>
      </c>
      <c r="Q126" s="33">
        <v>10619.469026548701</v>
      </c>
      <c r="R126" s="17">
        <v>1</v>
      </c>
      <c r="S126" s="35">
        <v>10619.469026548701</v>
      </c>
      <c r="T126" s="17" t="s">
        <v>137</v>
      </c>
      <c r="U126" s="17" t="s">
        <v>138</v>
      </c>
      <c r="V126" s="17" t="s">
        <v>139</v>
      </c>
      <c r="W126" s="17"/>
    </row>
    <row r="127" spans="2:23" s="2" customFormat="1" ht="49.5" hidden="1" customHeight="1">
      <c r="B127" s="17" t="s">
        <v>170</v>
      </c>
      <c r="C127" s="17" t="str">
        <f>VLOOKUP(B127,[1]Sheet1!$A:$B,2,0)</f>
        <v>MODI</v>
      </c>
      <c r="D127" s="17" t="s">
        <v>91</v>
      </c>
      <c r="E127" s="92" t="s">
        <v>175</v>
      </c>
      <c r="F127" s="17" t="s">
        <v>51</v>
      </c>
      <c r="G127" s="17">
        <v>2023</v>
      </c>
      <c r="H127" s="17">
        <v>12</v>
      </c>
      <c r="I127" s="17" t="s">
        <v>142</v>
      </c>
      <c r="J127" s="29">
        <v>45597</v>
      </c>
      <c r="K127" s="30">
        <v>2</v>
      </c>
      <c r="L127" s="31"/>
      <c r="M127" s="31">
        <f t="shared" si="3"/>
        <v>0</v>
      </c>
      <c r="N127" s="31">
        <v>500000</v>
      </c>
      <c r="O127" s="17" t="s">
        <v>147</v>
      </c>
      <c r="P127" s="29">
        <v>45266</v>
      </c>
      <c r="Q127" s="33">
        <v>5132.7433628318604</v>
      </c>
      <c r="R127" s="17">
        <v>1</v>
      </c>
      <c r="S127" s="35">
        <v>5132.7433628318604</v>
      </c>
      <c r="T127" s="17" t="s">
        <v>137</v>
      </c>
      <c r="U127" s="17" t="s">
        <v>138</v>
      </c>
      <c r="V127" s="17" t="s">
        <v>139</v>
      </c>
      <c r="W127" s="17"/>
    </row>
    <row r="128" spans="2:23" s="2" customFormat="1" ht="49.5" hidden="1" customHeight="1">
      <c r="B128" s="17" t="s">
        <v>170</v>
      </c>
      <c r="C128" s="17" t="str">
        <f>VLOOKUP(B128,[1]Sheet1!$A:$B,2,0)</f>
        <v>MODI</v>
      </c>
      <c r="D128" s="17" t="s">
        <v>91</v>
      </c>
      <c r="E128" s="92" t="s">
        <v>175</v>
      </c>
      <c r="F128" s="17" t="s">
        <v>51</v>
      </c>
      <c r="G128" s="17">
        <v>2024</v>
      </c>
      <c r="H128" s="17">
        <v>1</v>
      </c>
      <c r="I128" s="17" t="s">
        <v>142</v>
      </c>
      <c r="J128" s="29">
        <v>45597</v>
      </c>
      <c r="K128" s="30">
        <v>2</v>
      </c>
      <c r="L128" s="31"/>
      <c r="M128" s="31">
        <f t="shared" si="3"/>
        <v>0</v>
      </c>
      <c r="N128" s="31">
        <v>500000</v>
      </c>
      <c r="O128" s="17" t="s">
        <v>147</v>
      </c>
      <c r="P128" s="29">
        <v>45299</v>
      </c>
      <c r="Q128" s="33">
        <v>6371.6814159291998</v>
      </c>
      <c r="R128" s="17">
        <v>1</v>
      </c>
      <c r="S128" s="35">
        <v>6371.6814159291998</v>
      </c>
      <c r="T128" s="17" t="s">
        <v>137</v>
      </c>
      <c r="U128" s="17" t="s">
        <v>138</v>
      </c>
      <c r="V128" s="17" t="s">
        <v>139</v>
      </c>
      <c r="W128" s="17"/>
    </row>
    <row r="129" spans="2:24" s="2" customFormat="1" ht="49.5" hidden="1" customHeight="1">
      <c r="B129" s="17" t="s">
        <v>170</v>
      </c>
      <c r="C129" s="17" t="str">
        <f>VLOOKUP(B129,[1]Sheet1!$A:$B,2,0)</f>
        <v>MODI</v>
      </c>
      <c r="D129" s="17" t="s">
        <v>76</v>
      </c>
      <c r="E129" s="17" t="s">
        <v>160</v>
      </c>
      <c r="F129" s="17" t="s">
        <v>51</v>
      </c>
      <c r="G129" s="17">
        <v>2023</v>
      </c>
      <c r="H129" s="17">
        <v>11</v>
      </c>
      <c r="I129" s="17" t="s">
        <v>142</v>
      </c>
      <c r="J129" s="29">
        <v>45597</v>
      </c>
      <c r="K129" s="30">
        <v>2</v>
      </c>
      <c r="L129" s="31"/>
      <c r="M129" s="31">
        <f t="shared" si="3"/>
        <v>0</v>
      </c>
      <c r="N129" s="31">
        <v>500000</v>
      </c>
      <c r="O129" s="17" t="s">
        <v>147</v>
      </c>
      <c r="P129" s="29">
        <v>45243</v>
      </c>
      <c r="Q129" s="33">
        <v>7522.1238938053102</v>
      </c>
      <c r="R129" s="17">
        <v>1</v>
      </c>
      <c r="S129" s="35">
        <v>7522.1238938053102</v>
      </c>
      <c r="T129" s="17" t="s">
        <v>137</v>
      </c>
      <c r="U129" s="17" t="s">
        <v>138</v>
      </c>
      <c r="V129" s="17" t="s">
        <v>139</v>
      </c>
      <c r="W129" s="17"/>
    </row>
    <row r="130" spans="2:24" s="2" customFormat="1" ht="49.5" hidden="1" customHeight="1">
      <c r="B130" s="17" t="s">
        <v>170</v>
      </c>
      <c r="C130" s="17" t="str">
        <f>VLOOKUP(B130,[1]Sheet1!$A:$B,2,0)</f>
        <v>MODI</v>
      </c>
      <c r="D130" s="17" t="s">
        <v>76</v>
      </c>
      <c r="E130" s="17" t="s">
        <v>160</v>
      </c>
      <c r="F130" s="17" t="s">
        <v>51</v>
      </c>
      <c r="G130" s="17">
        <v>2023</v>
      </c>
      <c r="H130" s="17">
        <v>11</v>
      </c>
      <c r="I130" s="17" t="s">
        <v>142</v>
      </c>
      <c r="J130" s="29">
        <v>45597</v>
      </c>
      <c r="K130" s="30">
        <v>2</v>
      </c>
      <c r="L130" s="31"/>
      <c r="M130" s="31">
        <f t="shared" si="3"/>
        <v>0</v>
      </c>
      <c r="N130" s="31">
        <v>500000</v>
      </c>
      <c r="O130" s="17" t="s">
        <v>147</v>
      </c>
      <c r="P130" s="29">
        <v>45243</v>
      </c>
      <c r="Q130" s="33">
        <v>21238.938053097299</v>
      </c>
      <c r="R130" s="17">
        <v>1</v>
      </c>
      <c r="S130" s="35">
        <v>21238.938053097299</v>
      </c>
      <c r="T130" s="17" t="s">
        <v>137</v>
      </c>
      <c r="U130" s="17" t="s">
        <v>138</v>
      </c>
      <c r="V130" s="17" t="s">
        <v>139</v>
      </c>
      <c r="W130" s="17"/>
    </row>
    <row r="131" spans="2:24" s="2" customFormat="1" ht="49.5" hidden="1" customHeight="1">
      <c r="B131" s="17" t="s">
        <v>170</v>
      </c>
      <c r="C131" s="17" t="str">
        <f>VLOOKUP(B131,[1]Sheet1!$A:$B,2,0)</f>
        <v>MODI</v>
      </c>
      <c r="D131" s="17" t="s">
        <v>91</v>
      </c>
      <c r="E131" s="92" t="s">
        <v>175</v>
      </c>
      <c r="F131" s="17" t="s">
        <v>51</v>
      </c>
      <c r="G131" s="17">
        <v>2023</v>
      </c>
      <c r="H131" s="17">
        <v>9</v>
      </c>
      <c r="I131" s="17" t="s">
        <v>142</v>
      </c>
      <c r="J131" s="29">
        <v>45597</v>
      </c>
      <c r="K131" s="30">
        <v>2</v>
      </c>
      <c r="L131" s="31"/>
      <c r="M131" s="31">
        <f t="shared" si="3"/>
        <v>0</v>
      </c>
      <c r="N131" s="31">
        <v>500000</v>
      </c>
      <c r="O131" s="17" t="s">
        <v>146</v>
      </c>
      <c r="P131" s="29">
        <v>45191</v>
      </c>
      <c r="Q131" s="33">
        <v>53097.345132743401</v>
      </c>
      <c r="R131" s="17">
        <v>1</v>
      </c>
      <c r="S131" s="33">
        <v>53097.345132743401</v>
      </c>
      <c r="T131" s="17" t="s">
        <v>137</v>
      </c>
      <c r="U131" s="17" t="s">
        <v>138</v>
      </c>
      <c r="V131" s="17" t="s">
        <v>139</v>
      </c>
      <c r="W131" s="17"/>
      <c r="X131" s="108" t="s">
        <v>158</v>
      </c>
    </row>
    <row r="132" spans="2:24" s="2" customFormat="1" ht="49.5" hidden="1" customHeight="1">
      <c r="B132" s="17" t="s">
        <v>170</v>
      </c>
      <c r="C132" s="17" t="str">
        <f>VLOOKUP(B132,[1]Sheet1!$A:$B,2,0)</f>
        <v>MODI</v>
      </c>
      <c r="D132" s="17" t="s">
        <v>66</v>
      </c>
      <c r="E132" s="17" t="s">
        <v>171</v>
      </c>
      <c r="F132" s="17" t="s">
        <v>51</v>
      </c>
      <c r="G132" s="17">
        <v>2023</v>
      </c>
      <c r="H132" s="17">
        <v>9</v>
      </c>
      <c r="I132" s="17" t="s">
        <v>142</v>
      </c>
      <c r="J132" s="29">
        <v>45597</v>
      </c>
      <c r="K132" s="30">
        <v>2</v>
      </c>
      <c r="L132" s="31"/>
      <c r="M132" s="31">
        <f t="shared" si="3"/>
        <v>0</v>
      </c>
      <c r="N132" s="31">
        <v>500000</v>
      </c>
      <c r="O132" s="17" t="s">
        <v>146</v>
      </c>
      <c r="P132" s="29">
        <v>45191</v>
      </c>
      <c r="Q132" s="33">
        <v>53097.345132743401</v>
      </c>
      <c r="R132" s="17">
        <v>1</v>
      </c>
      <c r="S132" s="33">
        <v>53097.345132743401</v>
      </c>
      <c r="T132" s="17" t="s">
        <v>137</v>
      </c>
      <c r="U132" s="17" t="s">
        <v>138</v>
      </c>
      <c r="V132" s="17" t="s">
        <v>139</v>
      </c>
      <c r="W132" s="17"/>
      <c r="X132" s="110" t="s">
        <v>176</v>
      </c>
    </row>
    <row r="133" spans="2:24" s="2" customFormat="1" ht="49.5" hidden="1" customHeight="1">
      <c r="B133" s="17" t="s">
        <v>170</v>
      </c>
      <c r="C133" s="17" t="str">
        <f>VLOOKUP(B133,[1]Sheet1!$A:$B,2,0)</f>
        <v>MODI</v>
      </c>
      <c r="D133" s="17" t="s">
        <v>173</v>
      </c>
      <c r="E133" s="92" t="s">
        <v>174</v>
      </c>
      <c r="F133" s="17" t="s">
        <v>51</v>
      </c>
      <c r="G133" s="17">
        <v>2023</v>
      </c>
      <c r="H133" s="17">
        <v>9</v>
      </c>
      <c r="I133" s="17" t="s">
        <v>142</v>
      </c>
      <c r="J133" s="29">
        <v>45597</v>
      </c>
      <c r="K133" s="30">
        <v>2</v>
      </c>
      <c r="L133" s="31"/>
      <c r="M133" s="31">
        <f t="shared" si="3"/>
        <v>0</v>
      </c>
      <c r="N133" s="31">
        <v>500000</v>
      </c>
      <c r="O133" s="17" t="s">
        <v>146</v>
      </c>
      <c r="P133" s="29">
        <v>45191</v>
      </c>
      <c r="Q133" s="33">
        <v>53097.345132743401</v>
      </c>
      <c r="R133" s="17">
        <v>1</v>
      </c>
      <c r="S133" s="33">
        <v>53097.345132743401</v>
      </c>
      <c r="T133" s="17" t="s">
        <v>137</v>
      </c>
      <c r="U133" s="17" t="s">
        <v>138</v>
      </c>
      <c r="V133" s="17" t="s">
        <v>139</v>
      </c>
      <c r="W133" s="17"/>
      <c r="X133" s="110" t="s">
        <v>176</v>
      </c>
    </row>
    <row r="134" spans="2:24" s="2" customFormat="1" ht="49.5" hidden="1" customHeight="1">
      <c r="B134" s="17" t="s">
        <v>170</v>
      </c>
      <c r="C134" s="17" t="str">
        <f>VLOOKUP(B134,[1]Sheet1!$A:$B,2,0)</f>
        <v>MODI</v>
      </c>
      <c r="D134" s="17" t="s">
        <v>76</v>
      </c>
      <c r="E134" s="17" t="s">
        <v>160</v>
      </c>
      <c r="F134" s="17" t="s">
        <v>51</v>
      </c>
      <c r="G134" s="17">
        <v>2023</v>
      </c>
      <c r="H134" s="17">
        <v>9</v>
      </c>
      <c r="I134" s="17" t="s">
        <v>142</v>
      </c>
      <c r="J134" s="29">
        <v>45597</v>
      </c>
      <c r="K134" s="30">
        <v>2</v>
      </c>
      <c r="L134" s="31"/>
      <c r="M134" s="31">
        <f t="shared" si="3"/>
        <v>0</v>
      </c>
      <c r="N134" s="31">
        <v>500000</v>
      </c>
      <c r="O134" s="17" t="s">
        <v>146</v>
      </c>
      <c r="P134" s="29">
        <v>45191</v>
      </c>
      <c r="Q134" s="33">
        <v>62831.858407079599</v>
      </c>
      <c r="R134" s="17">
        <v>1</v>
      </c>
      <c r="S134" s="33">
        <v>62831.858407079599</v>
      </c>
      <c r="T134" s="17" t="s">
        <v>137</v>
      </c>
      <c r="U134" s="17" t="s">
        <v>138</v>
      </c>
      <c r="V134" s="17" t="s">
        <v>139</v>
      </c>
      <c r="W134" s="17"/>
      <c r="X134" s="110" t="s">
        <v>176</v>
      </c>
    </row>
    <row r="135" spans="2:24" s="2" customFormat="1" ht="49.5" hidden="1" customHeight="1">
      <c r="B135" s="17" t="s">
        <v>170</v>
      </c>
      <c r="C135" s="17" t="str">
        <f>VLOOKUP(B135,[1]Sheet1!$A:$B,2,0)</f>
        <v>MODI</v>
      </c>
      <c r="D135" s="17" t="s">
        <v>88</v>
      </c>
      <c r="E135" s="17" t="s">
        <v>160</v>
      </c>
      <c r="F135" s="17" t="s">
        <v>51</v>
      </c>
      <c r="G135" s="17">
        <v>2023</v>
      </c>
      <c r="H135" s="17">
        <v>9</v>
      </c>
      <c r="I135" s="17" t="s">
        <v>142</v>
      </c>
      <c r="J135" s="29">
        <v>45597</v>
      </c>
      <c r="K135" s="30">
        <v>2</v>
      </c>
      <c r="L135" s="31"/>
      <c r="M135" s="31">
        <f t="shared" ref="M135:M167" si="5">L135*R135</f>
        <v>0</v>
      </c>
      <c r="N135" s="31">
        <v>500000</v>
      </c>
      <c r="O135" s="17" t="s">
        <v>146</v>
      </c>
      <c r="P135" s="29">
        <v>45191</v>
      </c>
      <c r="Q135" s="33">
        <v>61946.902654867299</v>
      </c>
      <c r="R135" s="17">
        <v>1</v>
      </c>
      <c r="S135" s="33">
        <v>61946.902654867299</v>
      </c>
      <c r="T135" s="17" t="s">
        <v>137</v>
      </c>
      <c r="U135" s="17" t="s">
        <v>138</v>
      </c>
      <c r="V135" s="17" t="s">
        <v>139</v>
      </c>
      <c r="W135" s="17"/>
      <c r="X135" s="110" t="s">
        <v>176</v>
      </c>
    </row>
    <row r="136" spans="2:24" s="2" customFormat="1" ht="49.5" hidden="1" customHeight="1">
      <c r="B136" s="17" t="s">
        <v>170</v>
      </c>
      <c r="C136" s="17" t="str">
        <f>VLOOKUP(B136,[1]Sheet1!$A:$B,2,0)</f>
        <v>MODI</v>
      </c>
      <c r="D136" s="17" t="s">
        <v>85</v>
      </c>
      <c r="E136" s="17" t="s">
        <v>160</v>
      </c>
      <c r="F136" s="17" t="s">
        <v>51</v>
      </c>
      <c r="G136" s="17">
        <v>2023</v>
      </c>
      <c r="H136" s="17">
        <v>9</v>
      </c>
      <c r="I136" s="17" t="s">
        <v>142</v>
      </c>
      <c r="J136" s="29">
        <v>45597</v>
      </c>
      <c r="K136" s="30">
        <v>2</v>
      </c>
      <c r="L136" s="31"/>
      <c r="M136" s="31">
        <f t="shared" si="5"/>
        <v>0</v>
      </c>
      <c r="N136" s="31">
        <v>500000</v>
      </c>
      <c r="O136" s="17" t="s">
        <v>146</v>
      </c>
      <c r="P136" s="29">
        <v>45191</v>
      </c>
      <c r="Q136" s="33">
        <v>57522.123893805299</v>
      </c>
      <c r="R136" s="17">
        <v>1</v>
      </c>
      <c r="S136" s="33">
        <v>57522.123893805299</v>
      </c>
      <c r="T136" s="17" t="s">
        <v>137</v>
      </c>
      <c r="U136" s="17" t="s">
        <v>138</v>
      </c>
      <c r="V136" s="17" t="s">
        <v>139</v>
      </c>
      <c r="W136" s="17"/>
      <c r="X136" s="110" t="s">
        <v>176</v>
      </c>
    </row>
    <row r="137" spans="2:24" s="2" customFormat="1" ht="49.5" hidden="1" customHeight="1">
      <c r="B137" s="17" t="s">
        <v>170</v>
      </c>
      <c r="C137" s="17" t="str">
        <f>VLOOKUP(B137,[1]Sheet1!$A:$B,2,0)</f>
        <v>MODI</v>
      </c>
      <c r="D137" s="17" t="s">
        <v>63</v>
      </c>
      <c r="E137" s="92" t="s">
        <v>172</v>
      </c>
      <c r="F137" s="17" t="s">
        <v>51</v>
      </c>
      <c r="G137" s="17">
        <v>2023</v>
      </c>
      <c r="H137" s="17">
        <v>9</v>
      </c>
      <c r="I137" s="17" t="s">
        <v>142</v>
      </c>
      <c r="J137" s="29">
        <v>45597</v>
      </c>
      <c r="K137" s="30">
        <v>2</v>
      </c>
      <c r="L137" s="31"/>
      <c r="M137" s="31">
        <f t="shared" si="5"/>
        <v>0</v>
      </c>
      <c r="N137" s="31">
        <v>500000</v>
      </c>
      <c r="O137" s="17" t="s">
        <v>146</v>
      </c>
      <c r="P137" s="29">
        <v>45191</v>
      </c>
      <c r="Q137" s="33">
        <v>57522.123893805299</v>
      </c>
      <c r="R137" s="17">
        <v>1</v>
      </c>
      <c r="S137" s="33">
        <v>57522.123893805299</v>
      </c>
      <c r="T137" s="17" t="s">
        <v>137</v>
      </c>
      <c r="U137" s="17" t="s">
        <v>138</v>
      </c>
      <c r="V137" s="17" t="s">
        <v>139</v>
      </c>
      <c r="W137" s="17"/>
      <c r="X137" s="110" t="s">
        <v>176</v>
      </c>
    </row>
    <row r="138" spans="2:24" s="2" customFormat="1" ht="49.5" hidden="1" customHeight="1">
      <c r="B138" s="17" t="s">
        <v>170</v>
      </c>
      <c r="C138" s="17" t="str">
        <f>VLOOKUP(B138,[1]Sheet1!$A:$B,2,0)</f>
        <v>MODI</v>
      </c>
      <c r="D138" s="17" t="s">
        <v>91</v>
      </c>
      <c r="E138" s="92" t="s">
        <v>175</v>
      </c>
      <c r="F138" s="17" t="s">
        <v>51</v>
      </c>
      <c r="G138" s="17">
        <v>2023</v>
      </c>
      <c r="H138" s="17">
        <v>9</v>
      </c>
      <c r="I138" s="17" t="s">
        <v>142</v>
      </c>
      <c r="J138" s="29">
        <v>45597</v>
      </c>
      <c r="K138" s="30">
        <v>2</v>
      </c>
      <c r="L138" s="31"/>
      <c r="M138" s="31">
        <f t="shared" si="5"/>
        <v>0</v>
      </c>
      <c r="N138" s="31">
        <v>500000</v>
      </c>
      <c r="O138" s="17" t="s">
        <v>146</v>
      </c>
      <c r="P138" s="29">
        <v>45191</v>
      </c>
      <c r="Q138" s="33">
        <v>53097.345132743401</v>
      </c>
      <c r="R138" s="17">
        <v>1</v>
      </c>
      <c r="S138" s="33">
        <v>53097.345132743401</v>
      </c>
      <c r="T138" s="17" t="s">
        <v>137</v>
      </c>
      <c r="U138" s="17" t="s">
        <v>138</v>
      </c>
      <c r="V138" s="17" t="s">
        <v>139</v>
      </c>
      <c r="W138" s="17"/>
      <c r="X138" s="108" t="s">
        <v>158</v>
      </c>
    </row>
    <row r="139" spans="2:24" s="2" customFormat="1" ht="49.5" hidden="1" customHeight="1">
      <c r="B139" s="17" t="s">
        <v>11</v>
      </c>
      <c r="C139" s="17" t="str">
        <f>VLOOKUP(B139,[1]Sheet1!$A:$B,2,0)</f>
        <v>MODI</v>
      </c>
      <c r="D139" s="17" t="s">
        <v>76</v>
      </c>
      <c r="E139" s="92" t="s">
        <v>102</v>
      </c>
      <c r="F139" s="17" t="s">
        <v>51</v>
      </c>
      <c r="G139" s="17">
        <v>2023</v>
      </c>
      <c r="H139" s="17">
        <v>11</v>
      </c>
      <c r="I139" s="17" t="s">
        <v>142</v>
      </c>
      <c r="J139" s="29">
        <v>45597</v>
      </c>
      <c r="K139" s="30">
        <v>2</v>
      </c>
      <c r="L139" s="31"/>
      <c r="M139" s="31">
        <f t="shared" si="5"/>
        <v>0</v>
      </c>
      <c r="N139" s="31">
        <v>500000</v>
      </c>
      <c r="O139" s="17" t="s">
        <v>147</v>
      </c>
      <c r="P139" s="29">
        <v>45243</v>
      </c>
      <c r="Q139" s="33">
        <v>8500</v>
      </c>
      <c r="R139" s="17">
        <v>1</v>
      </c>
      <c r="S139" s="33">
        <v>8500</v>
      </c>
      <c r="T139" s="17" t="s">
        <v>137</v>
      </c>
      <c r="U139" s="17" t="s">
        <v>138</v>
      </c>
      <c r="V139" s="17" t="s">
        <v>139</v>
      </c>
      <c r="W139" s="17"/>
    </row>
    <row r="140" spans="2:24" s="2" customFormat="1" ht="49.5" hidden="1" customHeight="1">
      <c r="B140" s="17" t="s">
        <v>11</v>
      </c>
      <c r="C140" s="17" t="str">
        <f>VLOOKUP(B140,[1]Sheet1!$A:$B,2,0)</f>
        <v>MODI</v>
      </c>
      <c r="D140" s="17" t="s">
        <v>76</v>
      </c>
      <c r="E140" s="92" t="s">
        <v>102</v>
      </c>
      <c r="F140" s="17" t="s">
        <v>51</v>
      </c>
      <c r="G140" s="17">
        <v>2023</v>
      </c>
      <c r="H140" s="17">
        <v>11</v>
      </c>
      <c r="I140" s="17" t="s">
        <v>142</v>
      </c>
      <c r="J140" s="29">
        <v>45597</v>
      </c>
      <c r="K140" s="30">
        <v>2</v>
      </c>
      <c r="L140" s="31"/>
      <c r="M140" s="31">
        <f t="shared" si="5"/>
        <v>0</v>
      </c>
      <c r="N140" s="31">
        <v>500000</v>
      </c>
      <c r="O140" s="17" t="s">
        <v>147</v>
      </c>
      <c r="P140" s="29">
        <v>45243</v>
      </c>
      <c r="Q140" s="33">
        <v>24000</v>
      </c>
      <c r="R140" s="17">
        <v>1</v>
      </c>
      <c r="S140" s="33">
        <v>24000</v>
      </c>
      <c r="T140" s="17" t="s">
        <v>137</v>
      </c>
      <c r="U140" s="17" t="s">
        <v>138</v>
      </c>
      <c r="V140" s="17" t="s">
        <v>139</v>
      </c>
      <c r="W140" s="17"/>
    </row>
    <row r="141" spans="2:24" s="2" customFormat="1" ht="49.5" hidden="1" customHeight="1">
      <c r="B141" s="17" t="s">
        <v>177</v>
      </c>
      <c r="C141" s="17" t="str">
        <f>VLOOKUP(B141,[1]Sheet1!$A:$B,2,0)</f>
        <v>RCS DEVICE</v>
      </c>
      <c r="D141" s="17" t="s">
        <v>178</v>
      </c>
      <c r="E141" s="92" t="s">
        <v>179</v>
      </c>
      <c r="F141" s="17" t="s">
        <v>51</v>
      </c>
      <c r="G141" s="17">
        <v>2024</v>
      </c>
      <c r="H141" s="17">
        <v>9</v>
      </c>
      <c r="I141" s="17" t="s">
        <v>142</v>
      </c>
      <c r="J141" s="29">
        <v>45597</v>
      </c>
      <c r="K141" s="30">
        <v>2</v>
      </c>
      <c r="L141" s="31"/>
      <c r="M141" s="31">
        <f t="shared" si="5"/>
        <v>0</v>
      </c>
      <c r="N141" s="31">
        <v>500000</v>
      </c>
      <c r="O141" s="17" t="s">
        <v>146</v>
      </c>
      <c r="P141" s="29">
        <v>45546</v>
      </c>
      <c r="Q141" s="33">
        <v>28318.5840707965</v>
      </c>
      <c r="R141" s="17">
        <v>1</v>
      </c>
      <c r="S141" s="33">
        <v>28318.5840707965</v>
      </c>
      <c r="T141" s="17" t="s">
        <v>137</v>
      </c>
      <c r="U141" s="17" t="s">
        <v>138</v>
      </c>
      <c r="V141" s="17" t="s">
        <v>139</v>
      </c>
      <c r="W141" s="17"/>
    </row>
    <row r="142" spans="2:24" s="2" customFormat="1" ht="49.5" customHeight="1">
      <c r="B142" s="17" t="s">
        <v>6</v>
      </c>
      <c r="C142" s="17" t="s">
        <v>14</v>
      </c>
      <c r="D142" s="17" t="s">
        <v>112</v>
      </c>
      <c r="E142" s="17" t="s">
        <v>113</v>
      </c>
      <c r="F142" s="17" t="s">
        <v>114</v>
      </c>
      <c r="G142" s="17">
        <v>2024</v>
      </c>
      <c r="H142" s="17">
        <v>10</v>
      </c>
      <c r="I142" s="17" t="s">
        <v>135</v>
      </c>
      <c r="J142" s="29">
        <v>45610</v>
      </c>
      <c r="K142" s="30">
        <v>16</v>
      </c>
      <c r="L142" s="31">
        <v>1241856</v>
      </c>
      <c r="M142" s="31">
        <f t="shared" si="5"/>
        <v>16144128</v>
      </c>
      <c r="N142" s="31">
        <v>1000000</v>
      </c>
      <c r="O142" s="17" t="s">
        <v>136</v>
      </c>
      <c r="P142" s="29">
        <v>45593</v>
      </c>
      <c r="Q142" s="41">
        <f>93600*7.15</f>
        <v>669240</v>
      </c>
      <c r="R142" s="17">
        <v>13</v>
      </c>
      <c r="S142" s="41">
        <f t="shared" ref="S142:S145" si="6">Q142*R142</f>
        <v>8700120</v>
      </c>
      <c r="T142" s="17" t="s">
        <v>137</v>
      </c>
      <c r="U142" s="17" t="s">
        <v>138</v>
      </c>
      <c r="V142" s="17" t="s">
        <v>139</v>
      </c>
      <c r="W142" s="39" t="s">
        <v>140</v>
      </c>
      <c r="X142" s="108" t="s">
        <v>158</v>
      </c>
    </row>
    <row r="143" spans="2:24" s="2" customFormat="1" ht="49.5" customHeight="1">
      <c r="B143" s="17" t="s">
        <v>6</v>
      </c>
      <c r="C143" s="17" t="s">
        <v>14</v>
      </c>
      <c r="D143" s="17" t="s">
        <v>115</v>
      </c>
      <c r="E143" s="17" t="s">
        <v>116</v>
      </c>
      <c r="F143" s="17" t="s">
        <v>114</v>
      </c>
      <c r="G143" s="17">
        <v>2024</v>
      </c>
      <c r="H143" s="17">
        <v>10</v>
      </c>
      <c r="I143" s="17" t="s">
        <v>135</v>
      </c>
      <c r="J143" s="29">
        <v>45610</v>
      </c>
      <c r="K143" s="30">
        <v>32</v>
      </c>
      <c r="L143" s="31">
        <v>3089786</v>
      </c>
      <c r="M143" s="31">
        <f t="shared" si="5"/>
        <v>15448930</v>
      </c>
      <c r="N143" s="31">
        <v>1000000</v>
      </c>
      <c r="O143" s="17" t="s">
        <v>136</v>
      </c>
      <c r="P143" s="29">
        <v>45593</v>
      </c>
      <c r="Q143" s="41">
        <f>115904*7.15</f>
        <v>828713.60000000009</v>
      </c>
      <c r="R143" s="17">
        <v>5</v>
      </c>
      <c r="S143" s="41">
        <f t="shared" si="6"/>
        <v>4143568.0000000005</v>
      </c>
      <c r="T143" s="17" t="s">
        <v>137</v>
      </c>
      <c r="U143" s="17" t="s">
        <v>138</v>
      </c>
      <c r="V143" s="17" t="s">
        <v>139</v>
      </c>
      <c r="W143" s="39" t="s">
        <v>140</v>
      </c>
      <c r="X143" s="108" t="s">
        <v>158</v>
      </c>
    </row>
    <row r="144" spans="2:24" s="2" customFormat="1" ht="49.5" customHeight="1">
      <c r="B144" s="17" t="s">
        <v>6</v>
      </c>
      <c r="C144" s="17" t="s">
        <v>14</v>
      </c>
      <c r="D144" s="17" t="s">
        <v>117</v>
      </c>
      <c r="E144" s="17" t="s">
        <v>118</v>
      </c>
      <c r="F144" s="17" t="s">
        <v>114</v>
      </c>
      <c r="G144" s="17">
        <v>2024</v>
      </c>
      <c r="H144" s="17">
        <v>10</v>
      </c>
      <c r="I144" s="17" t="s">
        <v>135</v>
      </c>
      <c r="J144" s="29">
        <v>45610</v>
      </c>
      <c r="K144" s="30">
        <v>32</v>
      </c>
      <c r="L144" s="31">
        <v>3075072</v>
      </c>
      <c r="M144" s="31">
        <f t="shared" si="5"/>
        <v>18450432</v>
      </c>
      <c r="N144" s="31">
        <v>1000000</v>
      </c>
      <c r="O144" s="17" t="s">
        <v>136</v>
      </c>
      <c r="P144" s="29">
        <v>45593</v>
      </c>
      <c r="Q144" s="41">
        <f>90051*7.15</f>
        <v>643864.65</v>
      </c>
      <c r="R144" s="17">
        <v>6</v>
      </c>
      <c r="S144" s="41">
        <f t="shared" si="6"/>
        <v>3863187.9000000004</v>
      </c>
      <c r="T144" s="17" t="s">
        <v>137</v>
      </c>
      <c r="U144" s="17" t="s">
        <v>138</v>
      </c>
      <c r="V144" s="17" t="s">
        <v>139</v>
      </c>
      <c r="W144" s="39" t="s">
        <v>140</v>
      </c>
      <c r="X144" s="108" t="s">
        <v>158</v>
      </c>
    </row>
    <row r="145" spans="2:24" s="2" customFormat="1" ht="51" customHeight="1">
      <c r="B145" s="17" t="s">
        <v>6</v>
      </c>
      <c r="C145" s="17" t="s">
        <v>14</v>
      </c>
      <c r="D145" s="17" t="s">
        <v>85</v>
      </c>
      <c r="E145" s="17" t="s">
        <v>119</v>
      </c>
      <c r="F145" s="17" t="s">
        <v>114</v>
      </c>
      <c r="G145" s="17">
        <v>2024</v>
      </c>
      <c r="H145" s="17">
        <v>10</v>
      </c>
      <c r="I145" s="17" t="s">
        <v>135</v>
      </c>
      <c r="J145" s="29">
        <v>45610</v>
      </c>
      <c r="K145" s="30">
        <v>32</v>
      </c>
      <c r="L145" s="31">
        <v>3089786</v>
      </c>
      <c r="M145" s="31">
        <f t="shared" si="5"/>
        <v>15448930</v>
      </c>
      <c r="N145" s="31">
        <v>1000000</v>
      </c>
      <c r="O145" s="17" t="s">
        <v>136</v>
      </c>
      <c r="P145" s="29">
        <v>45593</v>
      </c>
      <c r="Q145" s="41">
        <f>115904*7.15</f>
        <v>828713.60000000009</v>
      </c>
      <c r="R145" s="17">
        <v>5</v>
      </c>
      <c r="S145" s="41">
        <f t="shared" si="6"/>
        <v>4143568.0000000005</v>
      </c>
      <c r="T145" s="17" t="s">
        <v>137</v>
      </c>
      <c r="U145" s="17" t="s">
        <v>138</v>
      </c>
      <c r="V145" s="17" t="s">
        <v>139</v>
      </c>
      <c r="W145" s="39" t="s">
        <v>140</v>
      </c>
      <c r="X145" s="108" t="s">
        <v>158</v>
      </c>
    </row>
    <row r="146" spans="2:24" s="2" customFormat="1" ht="51" hidden="1" customHeight="1">
      <c r="B146" s="121" t="s">
        <v>164</v>
      </c>
      <c r="C146" s="121" t="s">
        <v>14</v>
      </c>
      <c r="D146" s="121" t="s">
        <v>76</v>
      </c>
      <c r="E146" s="121" t="s">
        <v>165</v>
      </c>
      <c r="F146" s="121" t="s">
        <v>51</v>
      </c>
      <c r="G146" s="121">
        <v>2024</v>
      </c>
      <c r="H146" s="121">
        <v>12</v>
      </c>
      <c r="I146" s="121" t="s">
        <v>135</v>
      </c>
      <c r="J146" s="122">
        <v>45664</v>
      </c>
      <c r="K146" s="123">
        <v>2</v>
      </c>
      <c r="L146" s="124"/>
      <c r="M146" s="124">
        <f t="shared" si="5"/>
        <v>0</v>
      </c>
      <c r="N146" s="124">
        <v>500000</v>
      </c>
      <c r="O146" s="121" t="s">
        <v>147</v>
      </c>
      <c r="P146" s="122">
        <v>45652</v>
      </c>
      <c r="Q146" s="125">
        <f>6800/1.13</f>
        <v>6017.6991150442482</v>
      </c>
      <c r="R146" s="121">
        <v>1</v>
      </c>
      <c r="S146" s="125">
        <f>Q146*R146</f>
        <v>6017.6991150442482</v>
      </c>
      <c r="T146" s="121" t="s">
        <v>137</v>
      </c>
      <c r="U146" s="121" t="s">
        <v>138</v>
      </c>
      <c r="V146" s="121" t="s">
        <v>139</v>
      </c>
      <c r="W146" s="121"/>
    </row>
    <row r="147" spans="2:24" s="2" customFormat="1" ht="12.95" hidden="1">
      <c r="B147" s="17"/>
      <c r="C147" s="17" t="e">
        <f>VLOOKUP(B147,[1]Sheet1!$A:$B,2,0)</f>
        <v>#N/A</v>
      </c>
      <c r="D147" s="17"/>
      <c r="E147" s="17"/>
      <c r="F147" s="17"/>
      <c r="G147" s="17"/>
      <c r="H147" s="17"/>
      <c r="I147" s="17"/>
      <c r="J147" s="29"/>
      <c r="K147" s="30"/>
      <c r="L147" s="31"/>
      <c r="M147" s="31">
        <f t="shared" si="5"/>
        <v>0</v>
      </c>
      <c r="N147" s="31"/>
      <c r="O147" s="17"/>
      <c r="P147" s="17"/>
      <c r="Q147" s="33"/>
      <c r="R147" s="17"/>
      <c r="S147" s="33"/>
      <c r="T147" s="17"/>
      <c r="U147" s="17"/>
      <c r="V147" s="17"/>
      <c r="W147" s="17"/>
    </row>
    <row r="148" spans="2:24" s="2" customFormat="1" ht="12.95" hidden="1">
      <c r="B148" s="17"/>
      <c r="C148" s="17" t="e">
        <f>VLOOKUP(B148,[1]Sheet1!$A:$B,2,0)</f>
        <v>#N/A</v>
      </c>
      <c r="D148" s="17"/>
      <c r="E148" s="17"/>
      <c r="F148" s="17"/>
      <c r="G148" s="17"/>
      <c r="H148" s="17"/>
      <c r="I148" s="17"/>
      <c r="J148" s="29"/>
      <c r="K148" s="30"/>
      <c r="L148" s="31"/>
      <c r="M148" s="31">
        <f t="shared" si="5"/>
        <v>0</v>
      </c>
      <c r="N148" s="31"/>
      <c r="O148" s="17"/>
      <c r="P148" s="17"/>
      <c r="Q148" s="33"/>
      <c r="R148" s="17"/>
      <c r="S148" s="33"/>
      <c r="T148" s="17"/>
      <c r="U148" s="17"/>
      <c r="V148" s="17"/>
      <c r="W148" s="17"/>
    </row>
    <row r="149" spans="2:24" s="2" customFormat="1" ht="12.95" hidden="1">
      <c r="B149" s="17"/>
      <c r="C149" s="17" t="e">
        <f>VLOOKUP(B149,[1]Sheet1!$A:$B,2,0)</f>
        <v>#N/A</v>
      </c>
      <c r="D149" s="17"/>
      <c r="E149" s="17"/>
      <c r="F149" s="17"/>
      <c r="G149" s="17"/>
      <c r="H149" s="17"/>
      <c r="I149" s="17"/>
      <c r="J149" s="29"/>
      <c r="K149" s="30"/>
      <c r="L149" s="31"/>
      <c r="M149" s="31">
        <f t="shared" si="5"/>
        <v>0</v>
      </c>
      <c r="N149" s="31"/>
      <c r="O149" s="17"/>
      <c r="P149" s="17"/>
      <c r="Q149" s="33"/>
      <c r="R149" s="17"/>
      <c r="S149" s="33"/>
      <c r="T149" s="17"/>
      <c r="U149" s="17"/>
      <c r="V149" s="17"/>
      <c r="W149" s="17"/>
    </row>
    <row r="150" spans="2:24" s="2" customFormat="1" ht="12.95" hidden="1">
      <c r="B150" s="17"/>
      <c r="C150" s="17" t="e">
        <f>VLOOKUP(B150,[1]Sheet1!$A:$B,2,0)</f>
        <v>#N/A</v>
      </c>
      <c r="D150" s="17"/>
      <c r="E150" s="17"/>
      <c r="F150" s="17"/>
      <c r="G150" s="17"/>
      <c r="H150" s="17"/>
      <c r="I150" s="17"/>
      <c r="J150" s="29"/>
      <c r="K150" s="30"/>
      <c r="L150" s="31"/>
      <c r="M150" s="31">
        <f t="shared" si="5"/>
        <v>0</v>
      </c>
      <c r="N150" s="31"/>
      <c r="O150" s="17"/>
      <c r="P150" s="17"/>
      <c r="Q150" s="33"/>
      <c r="R150" s="17"/>
      <c r="S150" s="33"/>
      <c r="T150" s="17"/>
      <c r="U150" s="17"/>
      <c r="V150" s="17"/>
      <c r="W150" s="17"/>
    </row>
    <row r="151" spans="2:24" s="2" customFormat="1" ht="12.95" hidden="1">
      <c r="B151" s="17"/>
      <c r="C151" s="17" t="e">
        <f>VLOOKUP(B151,[1]Sheet1!$A:$B,2,0)</f>
        <v>#N/A</v>
      </c>
      <c r="D151" s="17"/>
      <c r="E151" s="17"/>
      <c r="F151" s="17"/>
      <c r="G151" s="17"/>
      <c r="H151" s="17"/>
      <c r="I151" s="17"/>
      <c r="J151" s="29"/>
      <c r="K151" s="30"/>
      <c r="L151" s="31"/>
      <c r="M151" s="31">
        <f t="shared" si="5"/>
        <v>0</v>
      </c>
      <c r="N151" s="31"/>
      <c r="O151" s="17"/>
      <c r="P151" s="17"/>
      <c r="Q151" s="33"/>
      <c r="R151" s="17"/>
      <c r="S151" s="33"/>
      <c r="T151" s="17"/>
      <c r="U151" s="17"/>
      <c r="V151" s="17"/>
      <c r="W151" s="17"/>
    </row>
    <row r="152" spans="2:24" s="2" customFormat="1" ht="12.95" hidden="1">
      <c r="B152" s="17"/>
      <c r="C152" s="17" t="e">
        <f>VLOOKUP(B152,[1]Sheet1!$A:$B,2,0)</f>
        <v>#N/A</v>
      </c>
      <c r="D152" s="17"/>
      <c r="E152" s="17"/>
      <c r="F152" s="17"/>
      <c r="G152" s="17"/>
      <c r="H152" s="17"/>
      <c r="I152" s="17"/>
      <c r="J152" s="29"/>
      <c r="K152" s="30"/>
      <c r="L152" s="31"/>
      <c r="M152" s="31">
        <f t="shared" si="5"/>
        <v>0</v>
      </c>
      <c r="N152" s="31"/>
      <c r="O152" s="17"/>
      <c r="P152" s="17"/>
      <c r="Q152" s="33"/>
      <c r="R152" s="17"/>
      <c r="S152" s="33"/>
      <c r="T152" s="17"/>
      <c r="U152" s="17"/>
      <c r="V152" s="17"/>
      <c r="W152" s="17"/>
    </row>
    <row r="153" spans="2:24" s="2" customFormat="1" ht="12.95" hidden="1">
      <c r="B153" s="17"/>
      <c r="C153" s="17" t="e">
        <f>VLOOKUP(B153,[1]Sheet1!$A:$B,2,0)</f>
        <v>#N/A</v>
      </c>
      <c r="D153" s="17"/>
      <c r="E153" s="17"/>
      <c r="F153" s="17"/>
      <c r="G153" s="17"/>
      <c r="H153" s="17"/>
      <c r="I153" s="17"/>
      <c r="J153" s="29"/>
      <c r="K153" s="30"/>
      <c r="L153" s="31"/>
      <c r="M153" s="31">
        <f t="shared" si="5"/>
        <v>0</v>
      </c>
      <c r="N153" s="31"/>
      <c r="O153" s="17"/>
      <c r="P153" s="17"/>
      <c r="Q153" s="33"/>
      <c r="R153" s="17"/>
      <c r="S153" s="33"/>
      <c r="T153" s="17"/>
      <c r="U153" s="17"/>
      <c r="V153" s="17"/>
      <c r="W153" s="17"/>
    </row>
    <row r="154" spans="2:24" s="2" customFormat="1" ht="12.95" hidden="1">
      <c r="B154" s="17"/>
      <c r="C154" s="17" t="e">
        <f>VLOOKUP(B154,[1]Sheet1!$A:$B,2,0)</f>
        <v>#N/A</v>
      </c>
      <c r="D154" s="17"/>
      <c r="E154" s="17"/>
      <c r="F154" s="17"/>
      <c r="G154" s="17"/>
      <c r="H154" s="17"/>
      <c r="I154" s="17"/>
      <c r="J154" s="29"/>
      <c r="K154" s="30"/>
      <c r="L154" s="31"/>
      <c r="M154" s="31">
        <f t="shared" si="5"/>
        <v>0</v>
      </c>
      <c r="N154" s="31"/>
      <c r="O154" s="17"/>
      <c r="P154" s="17"/>
      <c r="Q154" s="33"/>
      <c r="R154" s="17"/>
      <c r="S154" s="33"/>
      <c r="T154" s="17"/>
      <c r="U154" s="17"/>
      <c r="V154" s="17"/>
      <c r="W154" s="17"/>
    </row>
    <row r="155" spans="2:24" s="2" customFormat="1" ht="12.95" hidden="1">
      <c r="B155" s="17"/>
      <c r="C155" s="17" t="e">
        <f>VLOOKUP(B155,[1]Sheet1!$A:$B,2,0)</f>
        <v>#N/A</v>
      </c>
      <c r="D155" s="17"/>
      <c r="E155" s="17"/>
      <c r="F155" s="17"/>
      <c r="G155" s="17"/>
      <c r="H155" s="17"/>
      <c r="I155" s="17"/>
      <c r="J155" s="29"/>
      <c r="K155" s="30"/>
      <c r="L155" s="31"/>
      <c r="M155" s="31">
        <f t="shared" si="5"/>
        <v>0</v>
      </c>
      <c r="N155" s="31"/>
      <c r="O155" s="17"/>
      <c r="P155" s="17"/>
      <c r="Q155" s="33"/>
      <c r="R155" s="17"/>
      <c r="S155" s="33"/>
      <c r="T155" s="17"/>
      <c r="U155" s="17"/>
      <c r="V155" s="17"/>
      <c r="W155" s="17"/>
    </row>
    <row r="156" spans="2:24" s="2" customFormat="1" ht="12.95" hidden="1">
      <c r="B156" s="17"/>
      <c r="C156" s="17" t="e">
        <f>VLOOKUP(B156,[1]Sheet1!$A:$B,2,0)</f>
        <v>#N/A</v>
      </c>
      <c r="D156" s="17"/>
      <c r="E156" s="17"/>
      <c r="F156" s="17"/>
      <c r="G156" s="17"/>
      <c r="H156" s="17"/>
      <c r="I156" s="17"/>
      <c r="J156" s="29"/>
      <c r="K156" s="30"/>
      <c r="L156" s="31"/>
      <c r="M156" s="31">
        <f t="shared" si="5"/>
        <v>0</v>
      </c>
      <c r="N156" s="31"/>
      <c r="O156" s="17"/>
      <c r="P156" s="17"/>
      <c r="Q156" s="33"/>
      <c r="R156" s="17"/>
      <c r="S156" s="33"/>
      <c r="T156" s="17"/>
      <c r="U156" s="17"/>
      <c r="V156" s="17"/>
      <c r="W156" s="17"/>
    </row>
    <row r="157" spans="2:24" s="2" customFormat="1" ht="12.95" hidden="1">
      <c r="B157" s="17"/>
      <c r="C157" s="17" t="e">
        <f>VLOOKUP(B157,[1]Sheet1!$A:$B,2,0)</f>
        <v>#N/A</v>
      </c>
      <c r="D157" s="17"/>
      <c r="E157" s="17"/>
      <c r="F157" s="17"/>
      <c r="G157" s="17"/>
      <c r="H157" s="17"/>
      <c r="I157" s="17"/>
      <c r="J157" s="29"/>
      <c r="K157" s="30"/>
      <c r="L157" s="31"/>
      <c r="M157" s="31">
        <f t="shared" si="5"/>
        <v>0</v>
      </c>
      <c r="N157" s="31"/>
      <c r="O157" s="17"/>
      <c r="P157" s="17"/>
      <c r="Q157" s="33"/>
      <c r="R157" s="17"/>
      <c r="S157" s="33"/>
      <c r="T157" s="17"/>
      <c r="U157" s="17"/>
      <c r="V157" s="17"/>
      <c r="W157" s="17"/>
    </row>
    <row r="158" spans="2:24" s="2" customFormat="1" ht="12.95" hidden="1">
      <c r="B158" s="17"/>
      <c r="C158" s="17" t="e">
        <f>VLOOKUP(B158,[1]Sheet1!$A:$B,2,0)</f>
        <v>#N/A</v>
      </c>
      <c r="D158" s="17"/>
      <c r="E158" s="17"/>
      <c r="F158" s="17"/>
      <c r="G158" s="17"/>
      <c r="H158" s="17"/>
      <c r="I158" s="17"/>
      <c r="J158" s="29"/>
      <c r="K158" s="30"/>
      <c r="L158" s="31"/>
      <c r="M158" s="31">
        <f t="shared" si="5"/>
        <v>0</v>
      </c>
      <c r="N158" s="31"/>
      <c r="O158" s="17"/>
      <c r="P158" s="17"/>
      <c r="Q158" s="33"/>
      <c r="R158" s="17"/>
      <c r="S158" s="33"/>
      <c r="T158" s="17"/>
      <c r="U158" s="17"/>
      <c r="V158" s="17"/>
      <c r="W158" s="17"/>
    </row>
    <row r="159" spans="2:24" s="2" customFormat="1" ht="12.95" hidden="1">
      <c r="B159" s="17"/>
      <c r="C159" s="17" t="e">
        <f>VLOOKUP(B159,[1]Sheet1!$A:$B,2,0)</f>
        <v>#N/A</v>
      </c>
      <c r="D159" s="17"/>
      <c r="E159" s="17"/>
      <c r="F159" s="17"/>
      <c r="G159" s="17"/>
      <c r="H159" s="17"/>
      <c r="I159" s="17"/>
      <c r="J159" s="29"/>
      <c r="K159" s="30"/>
      <c r="L159" s="31"/>
      <c r="M159" s="31">
        <f t="shared" si="5"/>
        <v>0</v>
      </c>
      <c r="N159" s="31"/>
      <c r="O159" s="17"/>
      <c r="P159" s="17"/>
      <c r="Q159" s="33"/>
      <c r="R159" s="17"/>
      <c r="S159" s="33"/>
      <c r="T159" s="17"/>
      <c r="U159" s="17"/>
      <c r="V159" s="17"/>
      <c r="W159" s="17"/>
    </row>
    <row r="160" spans="2:24" s="2" customFormat="1" ht="12.95" hidden="1">
      <c r="B160" s="17"/>
      <c r="C160" s="17" t="e">
        <f>VLOOKUP(B160,[1]Sheet1!$A:$B,2,0)</f>
        <v>#N/A</v>
      </c>
      <c r="D160" s="17"/>
      <c r="E160" s="17"/>
      <c r="F160" s="17"/>
      <c r="G160" s="17"/>
      <c r="H160" s="17"/>
      <c r="I160" s="17"/>
      <c r="J160" s="29"/>
      <c r="K160" s="30"/>
      <c r="L160" s="31"/>
      <c r="M160" s="31">
        <f t="shared" si="5"/>
        <v>0</v>
      </c>
      <c r="N160" s="31"/>
      <c r="O160" s="17"/>
      <c r="P160" s="17"/>
      <c r="Q160" s="33"/>
      <c r="R160" s="17"/>
      <c r="S160" s="33"/>
      <c r="T160" s="17"/>
      <c r="U160" s="17"/>
      <c r="V160" s="17"/>
      <c r="W160" s="17"/>
    </row>
    <row r="161" spans="2:23" s="2" customFormat="1" ht="12.95" hidden="1">
      <c r="B161" s="17"/>
      <c r="C161" s="17" t="e">
        <f>VLOOKUP(B161,[1]Sheet1!$A:$B,2,0)</f>
        <v>#N/A</v>
      </c>
      <c r="D161" s="17"/>
      <c r="E161" s="17"/>
      <c r="F161" s="17"/>
      <c r="G161" s="17"/>
      <c r="H161" s="17"/>
      <c r="I161" s="17"/>
      <c r="J161" s="29"/>
      <c r="K161" s="30"/>
      <c r="L161" s="31"/>
      <c r="M161" s="31">
        <f t="shared" si="5"/>
        <v>0</v>
      </c>
      <c r="N161" s="31"/>
      <c r="O161" s="17"/>
      <c r="P161" s="17"/>
      <c r="Q161" s="33"/>
      <c r="R161" s="17"/>
      <c r="S161" s="33"/>
      <c r="T161" s="17"/>
      <c r="U161" s="17"/>
      <c r="V161" s="17"/>
      <c r="W161" s="17"/>
    </row>
    <row r="162" spans="2:23" s="2" customFormat="1" ht="12.95" hidden="1">
      <c r="B162" s="17"/>
      <c r="C162" s="17" t="e">
        <f>VLOOKUP(B162,[1]Sheet1!$A:$B,2,0)</f>
        <v>#N/A</v>
      </c>
      <c r="D162" s="17"/>
      <c r="E162" s="17"/>
      <c r="F162" s="17"/>
      <c r="G162" s="17"/>
      <c r="H162" s="17"/>
      <c r="I162" s="17"/>
      <c r="J162" s="29"/>
      <c r="K162" s="30"/>
      <c r="L162" s="31"/>
      <c r="M162" s="31">
        <f t="shared" si="5"/>
        <v>0</v>
      </c>
      <c r="N162" s="31"/>
      <c r="O162" s="17"/>
      <c r="P162" s="17"/>
      <c r="Q162" s="33"/>
      <c r="R162" s="17"/>
      <c r="S162" s="33"/>
      <c r="T162" s="17"/>
      <c r="U162" s="17"/>
      <c r="V162" s="17"/>
      <c r="W162" s="17"/>
    </row>
    <row r="163" spans="2:23" s="2" customFormat="1" ht="12.95" hidden="1">
      <c r="B163" s="17"/>
      <c r="C163" s="17" t="e">
        <f>VLOOKUP(B163,[1]Sheet1!$A:$B,2,0)</f>
        <v>#N/A</v>
      </c>
      <c r="D163" s="17"/>
      <c r="E163" s="17"/>
      <c r="F163" s="17"/>
      <c r="G163" s="17"/>
      <c r="H163" s="17"/>
      <c r="I163" s="17"/>
      <c r="J163" s="29"/>
      <c r="K163" s="30"/>
      <c r="L163" s="31"/>
      <c r="M163" s="31">
        <f t="shared" si="5"/>
        <v>0</v>
      </c>
      <c r="N163" s="31"/>
      <c r="O163" s="17"/>
      <c r="P163" s="17"/>
      <c r="Q163" s="33"/>
      <c r="R163" s="17"/>
      <c r="S163" s="33"/>
      <c r="T163" s="17"/>
      <c r="U163" s="17"/>
      <c r="V163" s="17"/>
      <c r="W163" s="17"/>
    </row>
    <row r="164" spans="2:23" s="2" customFormat="1" ht="12.95" hidden="1">
      <c r="B164" s="17"/>
      <c r="C164" s="17" t="e">
        <f>VLOOKUP(B164,[1]Sheet1!$A:$B,2,0)</f>
        <v>#N/A</v>
      </c>
      <c r="D164" s="17"/>
      <c r="E164" s="17"/>
      <c r="F164" s="17"/>
      <c r="G164" s="17"/>
      <c r="H164" s="17"/>
      <c r="I164" s="17"/>
      <c r="J164" s="29"/>
      <c r="K164" s="30"/>
      <c r="L164" s="31"/>
      <c r="M164" s="31">
        <f t="shared" si="5"/>
        <v>0</v>
      </c>
      <c r="N164" s="31"/>
      <c r="O164" s="17"/>
      <c r="P164" s="17"/>
      <c r="Q164" s="33"/>
      <c r="R164" s="17"/>
      <c r="S164" s="33"/>
      <c r="T164" s="17"/>
      <c r="U164" s="17"/>
      <c r="V164" s="17"/>
      <c r="W164" s="17"/>
    </row>
    <row r="165" spans="2:23" s="2" customFormat="1" ht="12.95" hidden="1">
      <c r="B165" s="17"/>
      <c r="C165" s="17" t="e">
        <f>VLOOKUP(B165,[1]Sheet1!$A:$B,2,0)</f>
        <v>#N/A</v>
      </c>
      <c r="D165" s="17"/>
      <c r="E165" s="17"/>
      <c r="F165" s="17"/>
      <c r="G165" s="17"/>
      <c r="H165" s="17"/>
      <c r="I165" s="17"/>
      <c r="J165" s="29"/>
      <c r="K165" s="30"/>
      <c r="L165" s="31"/>
      <c r="M165" s="31">
        <f t="shared" si="5"/>
        <v>0</v>
      </c>
      <c r="N165" s="31"/>
      <c r="O165" s="17"/>
      <c r="P165" s="17"/>
      <c r="Q165" s="33"/>
      <c r="R165" s="17"/>
      <c r="S165" s="33"/>
      <c r="T165" s="17"/>
      <c r="U165" s="17"/>
      <c r="V165" s="17"/>
      <c r="W165" s="17"/>
    </row>
    <row r="166" spans="2:23" s="2" customFormat="1" ht="12.95" hidden="1">
      <c r="B166" s="17"/>
      <c r="C166" s="17" t="e">
        <f>VLOOKUP(B166,[1]Sheet1!$A:$B,2,0)</f>
        <v>#N/A</v>
      </c>
      <c r="D166" s="17"/>
      <c r="E166" s="17"/>
      <c r="F166" s="17"/>
      <c r="G166" s="17"/>
      <c r="H166" s="17"/>
      <c r="I166" s="17"/>
      <c r="J166" s="29"/>
      <c r="K166" s="30"/>
      <c r="L166" s="31"/>
      <c r="M166" s="31">
        <f t="shared" si="5"/>
        <v>0</v>
      </c>
      <c r="N166" s="31"/>
      <c r="O166" s="17"/>
      <c r="P166" s="17"/>
      <c r="Q166" s="33"/>
      <c r="R166" s="17"/>
      <c r="S166" s="33"/>
      <c r="T166" s="17"/>
      <c r="U166" s="17"/>
      <c r="V166" s="17"/>
      <c r="W166" s="17"/>
    </row>
    <row r="167" spans="2:23" s="2" customFormat="1" ht="12.95" hidden="1">
      <c r="B167" s="17"/>
      <c r="C167" s="17" t="e">
        <f>VLOOKUP(B167,[1]Sheet1!$A:$B,2,0)</f>
        <v>#N/A</v>
      </c>
      <c r="D167" s="17"/>
      <c r="E167" s="17"/>
      <c r="F167" s="17"/>
      <c r="G167" s="17"/>
      <c r="H167" s="17"/>
      <c r="I167" s="17"/>
      <c r="J167" s="29"/>
      <c r="K167" s="30"/>
      <c r="L167" s="31"/>
      <c r="M167" s="31">
        <f t="shared" si="5"/>
        <v>0</v>
      </c>
      <c r="N167" s="31"/>
      <c r="O167" s="17"/>
      <c r="P167" s="17"/>
      <c r="Q167" s="33"/>
      <c r="R167" s="17"/>
      <c r="S167" s="33"/>
      <c r="T167" s="17"/>
      <c r="U167" s="17"/>
      <c r="V167" s="17"/>
      <c r="W167" s="17"/>
    </row>
  </sheetData>
  <protectedRanges>
    <protectedRange sqref="F50:F73 P110:R130 B3:B1048573 T8:V38 T41:V61 T63:V100 P105:S109 S110:S138 E74:F91 E38:E66 E68:E73 E96:E103 D134:E136 E110:E132 H1:I2 E138:E140 W104:W140 D68:D132 D3:D66 D138:D1048573 O101:W103 O105:O130 O131:R138 O104:S104 O1:W7 O139:S140 O8:S15 O59:S100 W8:W100 O18:S57 O141:W1048573 E3:I37 F38:I49 G50:I57 H58:I58 G59:I91 E92:I95 F96:I140 E141:I1048573" name="Range1"/>
    <protectedRange sqref="C4 C6:C1048576" name="Range1_1"/>
    <protectedRange sqref="C3" name="Range1_6"/>
    <protectedRange sqref="J4 N4 J1:N1 N6:N15 N18:N23 N25:N31 N33:N1048576 K4:M1048576 J6:J1048576" name="Range1_3"/>
    <protectedRange sqref="B1:G2" name="Range1_6_1"/>
  </protectedRanges>
  <autoFilter ref="B5:W167" xr:uid="{00000000-0009-0000-0000-000001000000}">
    <filterColumn colId="13">
      <filters>
        <filter val="Hard tool"/>
        <filter val="Hard tool EC"/>
      </filters>
    </filterColumn>
  </autoFilter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0000000}">
          <x14:formula1>
            <xm:f>Sheet1!$A$2:$A$41</xm:f>
          </x14:formula1>
          <xm:sqref>B6:B167</xm:sqref>
        </x14:dataValidation>
        <x14:dataValidation type="list" allowBlank="1" showInputMessage="1" showErrorMessage="1" xr:uid="{00000000-0002-0000-0100-000001000000}">
          <x14:formula1>
            <xm:f>Sheet1!$I$3:$I$15</xm:f>
          </x14:formula1>
          <xm:sqref>G6:G167</xm:sqref>
        </x14:dataValidation>
        <x14:dataValidation type="list" allowBlank="1" showInputMessage="1" showErrorMessage="1" xr:uid="{00000000-0002-0000-0100-000002000000}">
          <x14:formula1>
            <xm:f>Sheet1!$J$3:$J$14</xm:f>
          </x14:formula1>
          <xm:sqref>H6:H167</xm:sqref>
        </x14:dataValidation>
        <x14:dataValidation type="list" allowBlank="1" showInputMessage="1" showErrorMessage="1" xr:uid="{00000000-0002-0000-0100-000003000000}">
          <x14:formula1>
            <xm:f>Sheet1!$G$3:$G$6</xm:f>
          </x14:formula1>
          <xm:sqref>O6:O167</xm:sqref>
        </x14:dataValidation>
        <x14:dataValidation type="list" allowBlank="1" showInputMessage="1" showErrorMessage="1" xr:uid="{00000000-0002-0000-0100-000004000000}">
          <x14:formula1>
            <xm:f>Sheet1!$D$3:$D$4</xm:f>
          </x14:formula1>
          <xm:sqref>U6:U167</xm:sqref>
        </x14:dataValidation>
        <x14:dataValidation type="list" allowBlank="1" showInputMessage="1" showErrorMessage="1" xr:uid="{00000000-0002-0000-0100-000005000000}">
          <x14:formula1>
            <xm:f>Sheet1!$E$3:$E$4</xm:f>
          </x14:formula1>
          <xm:sqref>V6:V167</xm:sqref>
        </x14:dataValidation>
        <x14:dataValidation type="list" allowBlank="1" showInputMessage="1" showErrorMessage="1" xr:uid="{279900CA-F6EA-4969-A68A-BABAEDDBB44A}">
          <x14:formula1>
            <xm:f>Sheet1!$F$3:$F$6</xm:f>
          </x14:formula1>
          <xm:sqref>I6:I167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A0C8-BA0E-4F34-848E-C0719B546CB4}">
  <dimension ref="A3:F5"/>
  <sheetViews>
    <sheetView workbookViewId="0">
      <selection activeCell="D11" sqref="D11"/>
    </sheetView>
  </sheetViews>
  <sheetFormatPr defaultRowHeight="14.45"/>
  <cols>
    <col min="1" max="1" width="19.5" bestFit="1" customWidth="1"/>
    <col min="2" max="2" width="15.5" bestFit="1" customWidth="1"/>
    <col min="3" max="3" width="12" bestFit="1" customWidth="1"/>
    <col min="4" max="4" width="13.5" bestFit="1" customWidth="1"/>
    <col min="5" max="5" width="12" bestFit="1" customWidth="1"/>
    <col min="6" max="6" width="14.5" bestFit="1" customWidth="1"/>
  </cols>
  <sheetData>
    <row r="3" spans="1:6">
      <c r="B3" s="130" t="s">
        <v>180</v>
      </c>
    </row>
    <row r="4" spans="1:6">
      <c r="B4" s="131" t="s">
        <v>136</v>
      </c>
      <c r="C4" s="131" t="s">
        <v>148</v>
      </c>
      <c r="D4" s="131" t="s">
        <v>146</v>
      </c>
      <c r="E4" s="131" t="s">
        <v>147</v>
      </c>
      <c r="F4" s="131" t="s">
        <v>12</v>
      </c>
    </row>
    <row r="5" spans="1:6">
      <c r="A5" t="s">
        <v>145</v>
      </c>
      <c r="B5" s="131">
        <v>81937441.402181715</v>
      </c>
      <c r="C5" s="131">
        <v>628964.48672566365</v>
      </c>
      <c r="D5" s="131">
        <v>1860929.2035398246</v>
      </c>
      <c r="E5" s="131">
        <v>933275.22123893839</v>
      </c>
      <c r="F5" s="131">
        <v>85360610.313686132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4"/>
  <sheetViews>
    <sheetView workbookViewId="0">
      <selection activeCell="H2" sqref="H2:H6"/>
    </sheetView>
  </sheetViews>
  <sheetFormatPr defaultRowHeight="14.45"/>
  <cols>
    <col min="1" max="1" width="24.875" style="115" customWidth="1"/>
    <col min="2" max="2" width="17.75" style="115" customWidth="1"/>
    <col min="3" max="3" width="17.75" customWidth="1"/>
    <col min="4" max="4" width="19" customWidth="1"/>
    <col min="5" max="5" width="15.125" customWidth="1"/>
    <col min="7" max="7" width="13.5" customWidth="1"/>
    <col min="15" max="15" width="19.125" customWidth="1"/>
  </cols>
  <sheetData>
    <row r="1" spans="1:15">
      <c r="A1" s="1" t="s">
        <v>20</v>
      </c>
      <c r="B1" s="1" t="s">
        <v>13</v>
      </c>
    </row>
    <row r="2" spans="1:15">
      <c r="A2" s="114" t="s">
        <v>181</v>
      </c>
      <c r="B2" s="1" t="s">
        <v>16</v>
      </c>
      <c r="C2" t="s">
        <v>26</v>
      </c>
      <c r="D2" t="s">
        <v>132</v>
      </c>
      <c r="E2" t="s">
        <v>133</v>
      </c>
      <c r="F2" t="s">
        <v>121</v>
      </c>
      <c r="G2" t="s">
        <v>126</v>
      </c>
      <c r="H2" t="s">
        <v>43</v>
      </c>
      <c r="I2" t="s">
        <v>0</v>
      </c>
      <c r="J2" t="s">
        <v>1</v>
      </c>
      <c r="L2" t="s">
        <v>182</v>
      </c>
      <c r="O2" t="s">
        <v>21</v>
      </c>
    </row>
    <row r="3" spans="1:15">
      <c r="A3" s="114" t="s">
        <v>183</v>
      </c>
      <c r="B3" s="1" t="s">
        <v>16</v>
      </c>
      <c r="C3" t="s">
        <v>52</v>
      </c>
      <c r="D3" t="s">
        <v>138</v>
      </c>
      <c r="E3" t="s">
        <v>184</v>
      </c>
      <c r="F3" t="s">
        <v>185</v>
      </c>
      <c r="G3" t="s">
        <v>146</v>
      </c>
      <c r="H3" t="s">
        <v>109</v>
      </c>
      <c r="I3">
        <v>2022</v>
      </c>
      <c r="J3" s="115">
        <v>1</v>
      </c>
      <c r="L3" t="s">
        <v>137</v>
      </c>
      <c r="O3" t="s">
        <v>14</v>
      </c>
    </row>
    <row r="4" spans="1:15">
      <c r="A4" s="114" t="s">
        <v>9</v>
      </c>
      <c r="B4" s="1" t="s">
        <v>16</v>
      </c>
      <c r="C4" t="s">
        <v>186</v>
      </c>
      <c r="D4" t="s">
        <v>187</v>
      </c>
      <c r="E4" t="s">
        <v>139</v>
      </c>
      <c r="F4" t="s">
        <v>135</v>
      </c>
      <c r="G4" t="s">
        <v>147</v>
      </c>
      <c r="H4" t="s">
        <v>188</v>
      </c>
      <c r="I4">
        <v>2023</v>
      </c>
      <c r="J4" s="115">
        <v>2</v>
      </c>
      <c r="L4" t="s">
        <v>189</v>
      </c>
      <c r="O4" t="s">
        <v>15</v>
      </c>
    </row>
    <row r="5" spans="1:15">
      <c r="A5" s="114" t="s">
        <v>11</v>
      </c>
      <c r="B5" s="1" t="s">
        <v>16</v>
      </c>
      <c r="C5" t="s">
        <v>190</v>
      </c>
      <c r="F5" t="s">
        <v>191</v>
      </c>
      <c r="G5" t="s">
        <v>136</v>
      </c>
      <c r="H5" t="s">
        <v>55</v>
      </c>
      <c r="I5">
        <v>2024</v>
      </c>
      <c r="J5" s="115">
        <v>3</v>
      </c>
      <c r="L5" t="s">
        <v>192</v>
      </c>
      <c r="O5" t="s">
        <v>16</v>
      </c>
    </row>
    <row r="6" spans="1:15">
      <c r="A6" s="114" t="s">
        <v>170</v>
      </c>
      <c r="B6" s="1" t="s">
        <v>16</v>
      </c>
      <c r="C6" t="s">
        <v>193</v>
      </c>
      <c r="F6" t="s">
        <v>142</v>
      </c>
      <c r="G6" t="s">
        <v>148</v>
      </c>
      <c r="H6" t="s">
        <v>194</v>
      </c>
      <c r="I6">
        <v>2025</v>
      </c>
      <c r="J6" s="115">
        <v>4</v>
      </c>
      <c r="O6" t="s">
        <v>17</v>
      </c>
    </row>
    <row r="7" spans="1:15">
      <c r="A7" s="114" t="s">
        <v>195</v>
      </c>
      <c r="B7" s="1" t="s">
        <v>16</v>
      </c>
      <c r="C7" t="s">
        <v>196</v>
      </c>
      <c r="G7" t="s">
        <v>194</v>
      </c>
      <c r="I7">
        <v>2026</v>
      </c>
      <c r="J7" s="115">
        <v>5</v>
      </c>
      <c r="O7" t="s">
        <v>18</v>
      </c>
    </row>
    <row r="8" spans="1:15">
      <c r="A8" s="114" t="s">
        <v>197</v>
      </c>
      <c r="B8" s="1" t="s">
        <v>16</v>
      </c>
      <c r="C8" t="s">
        <v>194</v>
      </c>
      <c r="I8">
        <v>2027</v>
      </c>
      <c r="J8" s="115">
        <v>6</v>
      </c>
    </row>
    <row r="9" spans="1:15">
      <c r="A9" s="114" t="s">
        <v>198</v>
      </c>
      <c r="B9" s="1" t="s">
        <v>16</v>
      </c>
      <c r="I9">
        <v>2028</v>
      </c>
      <c r="J9" s="115">
        <v>7</v>
      </c>
    </row>
    <row r="10" spans="1:15">
      <c r="A10" s="114" t="s">
        <v>7</v>
      </c>
      <c r="B10" s="1" t="s">
        <v>16</v>
      </c>
      <c r="I10">
        <v>2029</v>
      </c>
      <c r="J10" s="115">
        <v>8</v>
      </c>
    </row>
    <row r="11" spans="1:15">
      <c r="A11" s="114" t="s">
        <v>199</v>
      </c>
      <c r="B11" s="1" t="s">
        <v>16</v>
      </c>
      <c r="I11">
        <v>2030</v>
      </c>
      <c r="J11" s="115">
        <v>9</v>
      </c>
    </row>
    <row r="12" spans="1:15">
      <c r="A12" s="114" t="s">
        <v>8</v>
      </c>
      <c r="B12" s="1" t="s">
        <v>16</v>
      </c>
      <c r="I12">
        <v>2031</v>
      </c>
      <c r="J12" s="115">
        <v>10</v>
      </c>
    </row>
    <row r="13" spans="1:15">
      <c r="A13" s="114" t="s">
        <v>6</v>
      </c>
      <c r="B13" s="1" t="s">
        <v>14</v>
      </c>
      <c r="I13">
        <v>2032</v>
      </c>
      <c r="J13" s="115">
        <v>11</v>
      </c>
    </row>
    <row r="14" spans="1:15">
      <c r="A14" s="114" t="s">
        <v>200</v>
      </c>
      <c r="B14" s="1" t="s">
        <v>14</v>
      </c>
      <c r="I14">
        <v>2033</v>
      </c>
      <c r="J14" s="115">
        <v>12</v>
      </c>
    </row>
    <row r="15" spans="1:15">
      <c r="A15" s="114" t="s">
        <v>201</v>
      </c>
      <c r="B15" s="1" t="s">
        <v>14</v>
      </c>
      <c r="C15" s="116" t="s">
        <v>202</v>
      </c>
      <c r="D15" s="116" t="s">
        <v>203</v>
      </c>
      <c r="I15">
        <v>2034</v>
      </c>
    </row>
    <row r="16" spans="1:15">
      <c r="A16" s="114" t="s">
        <v>204</v>
      </c>
      <c r="B16" s="1" t="s">
        <v>17</v>
      </c>
      <c r="C16" s="116" t="s">
        <v>205</v>
      </c>
      <c r="D16" s="116" t="s">
        <v>204</v>
      </c>
    </row>
    <row r="17" spans="1:4">
      <c r="A17" s="114" t="s">
        <v>206</v>
      </c>
      <c r="B17" s="1" t="s">
        <v>17</v>
      </c>
      <c r="C17" s="116" t="s">
        <v>207</v>
      </c>
      <c r="D17" s="116" t="s">
        <v>206</v>
      </c>
    </row>
    <row r="18" spans="1:4">
      <c r="A18" s="114" t="s">
        <v>208</v>
      </c>
      <c r="B18" s="1" t="s">
        <v>17</v>
      </c>
      <c r="C18" s="116" t="s">
        <v>209</v>
      </c>
      <c r="D18" s="116" t="s">
        <v>208</v>
      </c>
    </row>
    <row r="19" spans="1:4">
      <c r="A19" s="114" t="s">
        <v>210</v>
      </c>
      <c r="B19" s="1" t="s">
        <v>17</v>
      </c>
    </row>
    <row r="20" spans="1:4">
      <c r="A20" s="114" t="s">
        <v>211</v>
      </c>
      <c r="B20" s="1" t="s">
        <v>17</v>
      </c>
    </row>
    <row r="21" spans="1:4">
      <c r="A21" s="114" t="s">
        <v>212</v>
      </c>
      <c r="B21" s="1" t="s">
        <v>17</v>
      </c>
    </row>
    <row r="22" spans="1:4">
      <c r="A22" s="114" t="s">
        <v>213</v>
      </c>
      <c r="B22" s="1" t="s">
        <v>17</v>
      </c>
    </row>
    <row r="23" spans="1:4">
      <c r="A23" s="114" t="s">
        <v>214</v>
      </c>
      <c r="B23" s="1" t="s">
        <v>17</v>
      </c>
    </row>
    <row r="24" spans="1:4">
      <c r="A24" s="114" t="s">
        <v>215</v>
      </c>
      <c r="B24" s="1" t="s">
        <v>17</v>
      </c>
    </row>
    <row r="25" spans="1:4">
      <c r="A25" s="114" t="s">
        <v>216</v>
      </c>
      <c r="B25" s="1" t="s">
        <v>17</v>
      </c>
    </row>
    <row r="26" spans="1:4">
      <c r="A26" s="114" t="s">
        <v>217</v>
      </c>
      <c r="B26" s="1" t="s">
        <v>17</v>
      </c>
    </row>
    <row r="27" spans="1:4">
      <c r="A27" s="114" t="s">
        <v>218</v>
      </c>
      <c r="B27" s="1" t="s">
        <v>17</v>
      </c>
    </row>
    <row r="28" spans="1:4">
      <c r="A28" s="114" t="s">
        <v>219</v>
      </c>
      <c r="B28" s="1" t="s">
        <v>17</v>
      </c>
    </row>
    <row r="29" spans="1:4">
      <c r="A29" s="117" t="s">
        <v>220</v>
      </c>
      <c r="B29" s="1" t="s">
        <v>16</v>
      </c>
    </row>
    <row r="30" spans="1:4">
      <c r="A30" s="114" t="s">
        <v>221</v>
      </c>
      <c r="B30" s="1" t="s">
        <v>16</v>
      </c>
    </row>
    <row r="31" spans="1:4">
      <c r="A31" s="114" t="s">
        <v>222</v>
      </c>
      <c r="B31" s="1" t="s">
        <v>17</v>
      </c>
    </row>
    <row r="32" spans="1:4">
      <c r="A32" s="114" t="s">
        <v>223</v>
      </c>
      <c r="B32" s="1" t="s">
        <v>17</v>
      </c>
    </row>
    <row r="33" spans="1:2">
      <c r="A33" s="114" t="s">
        <v>224</v>
      </c>
      <c r="B33" s="1" t="s">
        <v>17</v>
      </c>
    </row>
    <row r="34" spans="1:2">
      <c r="A34" s="114" t="s">
        <v>225</v>
      </c>
      <c r="B34" s="1" t="s">
        <v>16</v>
      </c>
    </row>
    <row r="35" spans="1:2">
      <c r="A35" s="114" t="s">
        <v>226</v>
      </c>
      <c r="B35" s="1" t="s">
        <v>14</v>
      </c>
    </row>
    <row r="36" spans="1:2">
      <c r="A36" s="114" t="s">
        <v>227</v>
      </c>
      <c r="B36" s="1" t="s">
        <v>14</v>
      </c>
    </row>
    <row r="37" spans="1:2">
      <c r="A37" s="114" t="s">
        <v>228</v>
      </c>
      <c r="B37" s="1" t="s">
        <v>15</v>
      </c>
    </row>
    <row r="38" spans="1:2">
      <c r="A38" s="118" t="s">
        <v>229</v>
      </c>
      <c r="B38" s="119" t="s">
        <v>14</v>
      </c>
    </row>
    <row r="39" spans="1:2">
      <c r="A39" s="118" t="s">
        <v>230</v>
      </c>
      <c r="B39" s="119" t="s">
        <v>14</v>
      </c>
    </row>
    <row r="40" spans="1:2">
      <c r="A40" s="118" t="s">
        <v>231</v>
      </c>
      <c r="B40" s="119" t="s">
        <v>14</v>
      </c>
    </row>
    <row r="41" spans="1:2">
      <c r="A41" s="118" t="s">
        <v>232</v>
      </c>
      <c r="B41" s="119" t="s">
        <v>14</v>
      </c>
    </row>
    <row r="42" spans="1:2">
      <c r="A42" s="118" t="s">
        <v>233</v>
      </c>
      <c r="B42" s="119" t="s">
        <v>14</v>
      </c>
    </row>
    <row r="43" spans="1:2">
      <c r="A43" s="118" t="s">
        <v>234</v>
      </c>
      <c r="B43" s="119"/>
    </row>
    <row r="44" spans="1:2">
      <c r="A44" s="118" t="s">
        <v>235</v>
      </c>
      <c r="B44" s="119" t="s">
        <v>15</v>
      </c>
    </row>
    <row r="45" spans="1:2">
      <c r="A45" s="118" t="s">
        <v>236</v>
      </c>
      <c r="B45" s="119" t="s">
        <v>15</v>
      </c>
    </row>
    <row r="46" spans="1:2">
      <c r="A46" s="118" t="s">
        <v>237</v>
      </c>
      <c r="B46" s="119" t="s">
        <v>15</v>
      </c>
    </row>
    <row r="47" spans="1:2">
      <c r="A47" s="118" t="s">
        <v>238</v>
      </c>
      <c r="B47" s="119"/>
    </row>
    <row r="48" spans="1:2">
      <c r="A48" s="118" t="s">
        <v>239</v>
      </c>
      <c r="B48" s="119" t="s">
        <v>15</v>
      </c>
    </row>
    <row r="49" spans="1:2">
      <c r="A49" s="114" t="s">
        <v>240</v>
      </c>
      <c r="B49" s="1" t="s">
        <v>15</v>
      </c>
    </row>
    <row r="50" spans="1:2">
      <c r="A50" s="114" t="s">
        <v>10</v>
      </c>
      <c r="B50" s="1" t="s">
        <v>15</v>
      </c>
    </row>
    <row r="51" spans="1:2">
      <c r="A51" s="114" t="s">
        <v>177</v>
      </c>
      <c r="B51" s="1" t="s">
        <v>15</v>
      </c>
    </row>
    <row r="52" spans="1:2">
      <c r="A52" s="114" t="s">
        <v>241</v>
      </c>
      <c r="B52" s="1" t="s">
        <v>15</v>
      </c>
    </row>
    <row r="53" spans="1:2">
      <c r="A53" s="114" t="s">
        <v>242</v>
      </c>
      <c r="B53" s="1" t="s">
        <v>15</v>
      </c>
    </row>
    <row r="54" spans="1:2">
      <c r="A54" s="114" t="s">
        <v>243</v>
      </c>
      <c r="B54" s="1" t="s">
        <v>15</v>
      </c>
    </row>
    <row r="55" spans="1:2">
      <c r="A55" s="114" t="s">
        <v>244</v>
      </c>
      <c r="B55" s="1" t="s">
        <v>14</v>
      </c>
    </row>
    <row r="56" spans="1:2">
      <c r="A56" s="114" t="s">
        <v>245</v>
      </c>
      <c r="B56" s="1" t="s">
        <v>14</v>
      </c>
    </row>
    <row r="57" spans="1:2">
      <c r="A57" s="114" t="s">
        <v>246</v>
      </c>
      <c r="B57" s="1" t="s">
        <v>14</v>
      </c>
    </row>
    <row r="58" spans="1:2">
      <c r="A58" s="114" t="s">
        <v>247</v>
      </c>
      <c r="B58" s="1" t="s">
        <v>15</v>
      </c>
    </row>
    <row r="59" spans="1:2">
      <c r="A59" s="114" t="s">
        <v>248</v>
      </c>
      <c r="B59" s="1" t="s">
        <v>15</v>
      </c>
    </row>
    <row r="60" spans="1:2">
      <c r="A60" s="114" t="s">
        <v>249</v>
      </c>
      <c r="B60" s="1" t="s">
        <v>15</v>
      </c>
    </row>
    <row r="61" spans="1:2">
      <c r="A61" s="114" t="s">
        <v>250</v>
      </c>
      <c r="B61" s="1" t="s">
        <v>14</v>
      </c>
    </row>
    <row r="62" spans="1:2">
      <c r="A62" s="114" t="s">
        <v>164</v>
      </c>
      <c r="B62" s="1" t="s">
        <v>14</v>
      </c>
    </row>
    <row r="63" spans="1:2">
      <c r="A63" s="114" t="s">
        <v>251</v>
      </c>
      <c r="B63" s="1" t="s">
        <v>15</v>
      </c>
    </row>
    <row r="64" spans="1:2">
      <c r="A64" s="114" t="s">
        <v>252</v>
      </c>
      <c r="B64" s="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1" rangeCreator="" othersAccessPermission="edit"/>
    <arrUserId title="Range1_10_1" rangeCreator="" othersAccessPermission="edit"/>
    <arrUserId title="Range1_3" rangeCreator="" othersAccessPermission="edit"/>
  </rangeList>
  <rangeList sheetStid="2" master="" otherUserPermission="visible">
    <arrUserId title="Range1" rangeCreator="" othersAccessPermission="edit"/>
    <arrUserId title="Range1_1" rangeCreator="" othersAccessPermission="edit"/>
    <arrUserId title="Range1_6" rangeCreator="" othersAccessPermission="edit"/>
    <arrUserId title="Range1_3" rangeCreator="" othersAccessPermission="edit"/>
    <arrUserId title="Range1_6_1" rangeCreator="" othersAccessPermission="edit"/>
  </rangeList>
  <rangeList sheetStid="3" master="" otherUserPermission="visible"/>
</allowEditUser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E7E029-ECAE-44A5-93FB-8E78EBCD527A}"/>
</file>

<file path=customXml/itemProps2.xml><?xml version="1.0" encoding="utf-8"?>
<ds:datastoreItem xmlns:ds="http://schemas.openxmlformats.org/officeDocument/2006/customXml" ds:itemID="{5A5607D9-04D2-4DE1-AC0E-A7772F01BC71}"/>
</file>

<file path=customXml/itemProps3.xml><?xml version="1.0" encoding="utf-8"?>
<ds:datastoreItem xmlns:ds="http://schemas.openxmlformats.org/officeDocument/2006/customXml" ds:itemID="{7D48122B-BE64-408B-BE56-3BB09E545443}"/>
</file>

<file path=customXml/itemProps4.xml><?xml version="1.0" encoding="utf-8"?>
<ds:datastoreItem xmlns:ds="http://schemas.openxmlformats.org/officeDocument/2006/customXml" ds:itemID="{A55F6B03-183C-4A32-B483-B487B93806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emma_yang@wellmei.cn</cp:lastModifiedBy>
  <cp:revision/>
  <dcterms:created xsi:type="dcterms:W3CDTF">2015-06-05T18:17:00Z</dcterms:created>
  <dcterms:modified xsi:type="dcterms:W3CDTF">2025-04-03T08:07:51Z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ICV">
    <vt:lpwstr>EE12563BE52144C5ADC815FCF1255D4E_13</vt:lpwstr>
  </property>
  <property fmtid="{D5CDD505-2E9C-101B-9397-08002B2CF9AE}" pid="10" name="KSOProductBuildVer">
    <vt:lpwstr>2052-12.1.0.18608</vt:lpwstr>
  </property>
  <property fmtid="{D5CDD505-2E9C-101B-9397-08002B2CF9AE}" pid="11" name="ContentTypeId">
    <vt:lpwstr>0x01010052F5E292BDB11A4D81E8F2A181DC9AE6</vt:lpwstr>
  </property>
</Properties>
</file>