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ower BI缓存\New folder (7)\Spend tracker\TK\"/>
    </mc:Choice>
  </mc:AlternateContent>
  <bookViews>
    <workbookView xWindow="-105" yWindow="-105" windowWidth="19425" windowHeight="10305" firstSheet="1" activeTab="5"/>
  </bookViews>
  <sheets>
    <sheet name="hard tooling summary" sheetId="4" state="hidden" r:id="rId1"/>
    <sheet name="Spend Track (part)" sheetId="1" r:id="rId2"/>
    <sheet name="Sheet3" sheetId="6" state="hidden" r:id="rId3"/>
    <sheet name="Sheet4" sheetId="7" state="hidden" r:id="rId4"/>
    <sheet name="Sheet2" sheetId="5" state="hidden" r:id="rId5"/>
    <sheet name="Capex tracker" sheetId="2" r:id="rId6"/>
    <sheet name="详细信息1" sheetId="14" state="hidden" r:id="rId7"/>
    <sheet name="Capex summary Dec 2024" sheetId="13" state="hidden" r:id="rId8"/>
    <sheet name="Sheet9" sheetId="12" state="hidden" r:id="rId9"/>
    <sheet name="Sheet7" sheetId="10" state="hidden" r:id="rId10"/>
    <sheet name="Sheet1" sheetId="3" state="hidden" r:id="rId11"/>
  </sheets>
  <externalReferences>
    <externalReference r:id="rId12"/>
  </externalReferences>
  <definedNames>
    <definedName name="_xlnm._FilterDatabase" localSheetId="5" hidden="1">'Capex tracker'!$A$5:$V$286</definedName>
    <definedName name="_xlnm._FilterDatabase" localSheetId="1" hidden="1">'Spend Track (part)'!$A$3:$AE$615</definedName>
  </definedNames>
  <calcPr calcId="162913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38" i="1" l="1"/>
  <c r="AB638" i="1"/>
  <c r="AD637" i="1"/>
  <c r="AB637" i="1"/>
  <c r="AD636" i="1"/>
  <c r="AB636" i="1"/>
  <c r="AD635" i="1"/>
  <c r="AB635" i="1"/>
  <c r="AD634" i="1"/>
  <c r="AB634" i="1"/>
  <c r="AD633" i="1"/>
  <c r="AB633" i="1"/>
  <c r="AD632" i="1"/>
  <c r="AB632" i="1"/>
  <c r="AD631" i="1"/>
  <c r="AB631" i="1"/>
  <c r="AD630" i="1"/>
  <c r="AB630" i="1"/>
  <c r="AD629" i="1"/>
  <c r="AB629" i="1"/>
  <c r="AD628" i="1"/>
  <c r="AB628" i="1"/>
  <c r="AD627" i="1"/>
  <c r="AB627" i="1"/>
  <c r="AD626" i="1"/>
  <c r="AB626" i="1"/>
  <c r="AD625" i="1"/>
  <c r="AB625" i="1"/>
  <c r="AD624" i="1"/>
  <c r="AB624" i="1"/>
  <c r="AD623" i="1"/>
  <c r="AB623" i="1"/>
  <c r="AD622" i="1"/>
  <c r="AB622" i="1"/>
  <c r="AD621" i="1"/>
  <c r="AB621" i="1"/>
  <c r="AD620" i="1"/>
  <c r="AB620" i="1"/>
  <c r="AD619" i="1"/>
  <c r="AB619" i="1"/>
  <c r="AD618" i="1"/>
  <c r="AB618" i="1"/>
  <c r="AD617" i="1"/>
  <c r="AB617" i="1"/>
  <c r="AD616" i="1"/>
  <c r="AB616" i="1"/>
  <c r="AD615" i="1"/>
  <c r="AB615" i="1"/>
  <c r="AD614" i="1"/>
  <c r="AB614" i="1"/>
  <c r="AD613" i="1"/>
  <c r="AB613" i="1"/>
  <c r="AD612" i="1"/>
  <c r="AB612" i="1"/>
  <c r="AD611" i="1"/>
  <c r="AB611" i="1"/>
  <c r="AD610" i="1"/>
  <c r="AB610" i="1"/>
  <c r="AD609" i="1"/>
  <c r="AB609" i="1"/>
  <c r="AD608" i="1"/>
  <c r="AB608" i="1"/>
  <c r="AD607" i="1"/>
  <c r="AB607" i="1"/>
  <c r="AD606" i="1"/>
  <c r="AB606" i="1"/>
  <c r="AD605" i="1"/>
  <c r="AB605" i="1"/>
  <c r="AD604" i="1"/>
  <c r="AB604" i="1"/>
  <c r="AD603" i="1"/>
  <c r="AB603" i="1"/>
  <c r="AD602" i="1"/>
  <c r="AB602" i="1"/>
  <c r="AD601" i="1"/>
  <c r="AB601" i="1"/>
  <c r="AD600" i="1"/>
  <c r="AB600" i="1"/>
  <c r="AD599" i="1"/>
  <c r="AB599" i="1"/>
  <c r="AD598" i="1"/>
  <c r="AB598" i="1"/>
  <c r="AD597" i="1"/>
  <c r="AB597" i="1"/>
  <c r="AD596" i="1"/>
  <c r="AB596" i="1"/>
  <c r="AD595" i="1"/>
  <c r="AB595" i="1"/>
  <c r="AD594" i="1"/>
  <c r="AB594" i="1"/>
  <c r="AD593" i="1"/>
  <c r="AB593" i="1"/>
  <c r="AD592" i="1"/>
  <c r="AB592" i="1"/>
  <c r="AD591" i="1"/>
  <c r="AB591" i="1"/>
  <c r="AD590" i="1"/>
  <c r="AB590" i="1"/>
  <c r="AD589" i="1"/>
  <c r="AB589" i="1"/>
  <c r="AD588" i="1"/>
  <c r="AB588" i="1"/>
  <c r="AD587" i="1"/>
  <c r="AB587" i="1"/>
  <c r="AD586" i="1"/>
  <c r="AB586" i="1"/>
  <c r="AD585" i="1"/>
  <c r="AB585" i="1"/>
  <c r="AD584" i="1"/>
  <c r="AB584" i="1"/>
  <c r="AD583" i="1"/>
  <c r="AB583" i="1"/>
  <c r="AD582" i="1"/>
  <c r="AB582" i="1"/>
  <c r="AD581" i="1"/>
  <c r="AB581" i="1"/>
  <c r="R286" i="2"/>
  <c r="L286" i="2"/>
  <c r="B286" i="2"/>
  <c r="S575" i="1"/>
  <c r="U575" i="1" s="1"/>
  <c r="AD580" i="1"/>
  <c r="AB580" i="1"/>
  <c r="AD579" i="1"/>
  <c r="AB579" i="1"/>
  <c r="AD578" i="1"/>
  <c r="AB578" i="1"/>
  <c r="AD577" i="1"/>
  <c r="AB577" i="1"/>
  <c r="AD576" i="1"/>
  <c r="AB576" i="1"/>
  <c r="AD575" i="1"/>
  <c r="AB575" i="1"/>
  <c r="AD574" i="1"/>
  <c r="AB574" i="1"/>
  <c r="AD573" i="1"/>
  <c r="AB573" i="1"/>
  <c r="AD572" i="1"/>
  <c r="AB572" i="1"/>
  <c r="AD571" i="1"/>
  <c r="AB571" i="1"/>
  <c r="AD570" i="1"/>
  <c r="AB570" i="1"/>
  <c r="AD569" i="1"/>
  <c r="AB569" i="1"/>
  <c r="AD568" i="1"/>
  <c r="AB568" i="1"/>
  <c r="AD567" i="1"/>
  <c r="AB567" i="1"/>
  <c r="AD566" i="1"/>
  <c r="AB566" i="1"/>
  <c r="AD565" i="1"/>
  <c r="AB565" i="1"/>
  <c r="AD564" i="1"/>
  <c r="AB564" i="1"/>
  <c r="AD563" i="1"/>
  <c r="AB563" i="1"/>
  <c r="AD562" i="1"/>
  <c r="AB562" i="1"/>
  <c r="AD561" i="1"/>
  <c r="AB561" i="1"/>
  <c r="AD560" i="1"/>
  <c r="AB560" i="1"/>
  <c r="AD559" i="1"/>
  <c r="AB559" i="1"/>
  <c r="AD558" i="1"/>
  <c r="AB558" i="1"/>
  <c r="AD557" i="1"/>
  <c r="AB557" i="1"/>
  <c r="AD556" i="1"/>
  <c r="AB556" i="1"/>
  <c r="AD555" i="1"/>
  <c r="AB555" i="1"/>
  <c r="AD554" i="1"/>
  <c r="AB554" i="1"/>
  <c r="AD553" i="1"/>
  <c r="AB553" i="1"/>
  <c r="AD552" i="1"/>
  <c r="AB552" i="1"/>
  <c r="AD551" i="1"/>
  <c r="AB551" i="1"/>
  <c r="AD550" i="1"/>
  <c r="AB550" i="1"/>
  <c r="AD549" i="1"/>
  <c r="AB549" i="1"/>
  <c r="AD548" i="1"/>
  <c r="AB548" i="1"/>
  <c r="AD547" i="1"/>
  <c r="AB547" i="1"/>
  <c r="U541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190" i="1" s="1"/>
  <c r="U191" i="1" s="1"/>
  <c r="U192" i="1" s="1"/>
  <c r="U193" i="1" s="1"/>
  <c r="U194" i="1" s="1"/>
  <c r="U195" i="1" s="1"/>
  <c r="U196" i="1" s="1"/>
  <c r="U53" i="1"/>
  <c r="U398" i="1" s="1"/>
  <c r="U54" i="1"/>
  <c r="U204" i="1" s="1"/>
  <c r="U205" i="1" s="1"/>
  <c r="U206" i="1" s="1"/>
  <c r="U207" i="1" s="1"/>
  <c r="U208" i="1" s="1"/>
  <c r="U209" i="1" s="1"/>
  <c r="U210" i="1" s="1"/>
  <c r="U55" i="1"/>
  <c r="U400" i="1" s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7" i="1"/>
  <c r="U328" i="1"/>
  <c r="U329" i="1"/>
  <c r="U330" i="1"/>
  <c r="U331" i="1"/>
  <c r="U332" i="1"/>
  <c r="U333" i="1"/>
  <c r="U334" i="1"/>
  <c r="U335" i="1"/>
  <c r="U340" i="1"/>
  <c r="U345" i="1"/>
  <c r="U350" i="1"/>
  <c r="U355" i="1"/>
  <c r="U360" i="1"/>
  <c r="U365" i="1"/>
  <c r="U367" i="1"/>
  <c r="U368" i="1"/>
  <c r="U369" i="1"/>
  <c r="U373" i="1"/>
  <c r="U374" i="1"/>
  <c r="U375" i="1"/>
  <c r="U376" i="1"/>
  <c r="U378" i="1"/>
  <c r="U379" i="1"/>
  <c r="U380" i="1"/>
  <c r="U381" i="1"/>
  <c r="U382" i="1"/>
  <c r="U383" i="1"/>
  <c r="U384" i="1"/>
  <c r="U385" i="1"/>
  <c r="U386" i="1"/>
  <c r="U388" i="1"/>
  <c r="U389" i="1"/>
  <c r="U390" i="1"/>
  <c r="U401" i="1"/>
  <c r="U402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4" i="1"/>
  <c r="U425" i="1"/>
  <c r="U426" i="1"/>
  <c r="U427" i="1"/>
  <c r="U428" i="1"/>
  <c r="U429" i="1"/>
  <c r="U430" i="1"/>
  <c r="U431" i="1"/>
  <c r="U432" i="1"/>
  <c r="U434" i="1"/>
  <c r="U435" i="1"/>
  <c r="U436" i="1"/>
  <c r="U437" i="1"/>
  <c r="U439" i="1"/>
  <c r="U440" i="1"/>
  <c r="U441" i="1"/>
  <c r="U444" i="1"/>
  <c r="U450" i="1"/>
  <c r="U479" i="1"/>
  <c r="AB481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0" i="1"/>
  <c r="AB479" i="1"/>
  <c r="AB478" i="1"/>
  <c r="AB370" i="1"/>
  <c r="S513" i="1"/>
  <c r="U513" i="1" s="1"/>
  <c r="R285" i="2"/>
  <c r="L285" i="2"/>
  <c r="B285" i="2"/>
  <c r="R284" i="2"/>
  <c r="L284" i="2"/>
  <c r="B284" i="2"/>
  <c r="R283" i="2"/>
  <c r="L283" i="2"/>
  <c r="B283" i="2"/>
  <c r="S223" i="1"/>
  <c r="S224" i="1" s="1"/>
  <c r="U224" i="1" s="1"/>
  <c r="AD228" i="1"/>
  <c r="AB228" i="1"/>
  <c r="S228" i="1"/>
  <c r="U228" i="1" s="1"/>
  <c r="Q228" i="1"/>
  <c r="O228" i="1"/>
  <c r="B228" i="1"/>
  <c r="AD223" i="1"/>
  <c r="AB223" i="1"/>
  <c r="Q223" i="1"/>
  <c r="O223" i="1"/>
  <c r="B223" i="1"/>
  <c r="AD218" i="1"/>
  <c r="AB218" i="1"/>
  <c r="S218" i="1"/>
  <c r="S219" i="1" s="1"/>
  <c r="S220" i="1" s="1"/>
  <c r="S221" i="1" s="1"/>
  <c r="S222" i="1" s="1"/>
  <c r="S370" i="1" s="1"/>
  <c r="S445" i="1" s="1"/>
  <c r="S510" i="1" s="1"/>
  <c r="S544" i="1" s="1"/>
  <c r="U544" i="1" s="1"/>
  <c r="Q218" i="1"/>
  <c r="N218" i="1"/>
  <c r="B218" i="1"/>
  <c r="S451" i="1"/>
  <c r="S508" i="1" s="1"/>
  <c r="S542" i="1" s="1"/>
  <c r="U542" i="1" s="1"/>
  <c r="S168" i="1"/>
  <c r="S366" i="1" s="1"/>
  <c r="U366" i="1" s="1"/>
  <c r="AD249" i="1"/>
  <c r="AB249" i="1"/>
  <c r="Q249" i="1"/>
  <c r="O249" i="1"/>
  <c r="B249" i="1"/>
  <c r="AD248" i="1"/>
  <c r="AB248" i="1"/>
  <c r="S248" i="1"/>
  <c r="U248" i="1" s="1"/>
  <c r="Q248" i="1"/>
  <c r="O248" i="1"/>
  <c r="B248" i="1"/>
  <c r="S281" i="1"/>
  <c r="S282" i="1" s="1"/>
  <c r="S283" i="1" s="1"/>
  <c r="S284" i="1" s="1"/>
  <c r="S377" i="1" s="1"/>
  <c r="S466" i="1" s="1"/>
  <c r="S493" i="1" s="1"/>
  <c r="S527" i="1" s="1"/>
  <c r="U527" i="1" s="1"/>
  <c r="S356" i="1"/>
  <c r="S357" i="1" s="1"/>
  <c r="S358" i="1" s="1"/>
  <c r="S359" i="1" s="1"/>
  <c r="S396" i="1" s="1"/>
  <c r="S459" i="1" s="1"/>
  <c r="S485" i="1" s="1"/>
  <c r="S519" i="1" s="1"/>
  <c r="U519" i="1" s="1"/>
  <c r="S361" i="1"/>
  <c r="S362" i="1" s="1"/>
  <c r="S363" i="1" s="1"/>
  <c r="S364" i="1" s="1"/>
  <c r="S395" i="1" s="1"/>
  <c r="S458" i="1" s="1"/>
  <c r="S484" i="1" s="1"/>
  <c r="S518" i="1" s="1"/>
  <c r="U518" i="1" s="1"/>
  <c r="S336" i="1"/>
  <c r="S337" i="1" s="1"/>
  <c r="S338" i="1" s="1"/>
  <c r="S339" i="1" s="1"/>
  <c r="S394" i="1" s="1"/>
  <c r="S457" i="1" s="1"/>
  <c r="S483" i="1" s="1"/>
  <c r="S517" i="1" s="1"/>
  <c r="U517" i="1" s="1"/>
  <c r="S341" i="1"/>
  <c r="S342" i="1" s="1"/>
  <c r="S343" i="1" s="1"/>
  <c r="S344" i="1" s="1"/>
  <c r="S393" i="1" s="1"/>
  <c r="S456" i="1" s="1"/>
  <c r="U456" i="1" s="1"/>
  <c r="S351" i="1"/>
  <c r="S352" i="1" s="1"/>
  <c r="S353" i="1" s="1"/>
  <c r="S354" i="1" s="1"/>
  <c r="S392" i="1" s="1"/>
  <c r="S455" i="1" s="1"/>
  <c r="S481" i="1" s="1"/>
  <c r="U481" i="1" s="1"/>
  <c r="S346" i="1"/>
  <c r="S347" i="1" s="1"/>
  <c r="S348" i="1" s="1"/>
  <c r="S349" i="1" s="1"/>
  <c r="S391" i="1" s="1"/>
  <c r="S454" i="1" s="1"/>
  <c r="S480" i="1" s="1"/>
  <c r="U480" i="1" s="1"/>
  <c r="AD513" i="1"/>
  <c r="F59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9" i="1"/>
  <c r="Q220" i="1"/>
  <c r="Q221" i="1"/>
  <c r="Q222" i="1"/>
  <c r="Q224" i="1"/>
  <c r="Q225" i="1"/>
  <c r="Q226" i="1"/>
  <c r="Q227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" i="1"/>
  <c r="P278" i="2"/>
  <c r="R278" i="2" s="1"/>
  <c r="L282" i="2"/>
  <c r="L281" i="2"/>
  <c r="L280" i="2"/>
  <c r="B197" i="2"/>
  <c r="B196" i="2"/>
  <c r="B195" i="2"/>
  <c r="L197" i="2"/>
  <c r="L196" i="2"/>
  <c r="L195" i="2"/>
  <c r="R280" i="2"/>
  <c r="R281" i="2"/>
  <c r="R282" i="2"/>
  <c r="B280" i="2"/>
  <c r="B281" i="2"/>
  <c r="B282" i="2"/>
  <c r="R279" i="2"/>
  <c r="L279" i="2"/>
  <c r="B279" i="2"/>
  <c r="L278" i="2"/>
  <c r="B278" i="2"/>
  <c r="K245" i="2"/>
  <c r="L245" i="2" s="1"/>
  <c r="K230" i="2"/>
  <c r="K221" i="2"/>
  <c r="L221" i="2" s="1"/>
  <c r="K237" i="2"/>
  <c r="L237" i="2" s="1"/>
  <c r="K231" i="2"/>
  <c r="K227" i="2"/>
  <c r="L227" i="2" s="1"/>
  <c r="K223" i="2"/>
  <c r="L223" i="2" s="1"/>
  <c r="K211" i="2"/>
  <c r="L211" i="2" s="1"/>
  <c r="K236" i="2"/>
  <c r="L236" i="2" s="1"/>
  <c r="K219" i="2"/>
  <c r="L219" i="2" s="1"/>
  <c r="K241" i="2"/>
  <c r="K217" i="2"/>
  <c r="L217" i="2" s="1"/>
  <c r="K234" i="2"/>
  <c r="K224" i="2"/>
  <c r="K213" i="2"/>
  <c r="K216" i="2"/>
  <c r="K244" i="2"/>
  <c r="L244" i="2" s="1"/>
  <c r="K220" i="2"/>
  <c r="L220" i="2" s="1"/>
  <c r="K246" i="2"/>
  <c r="L246" i="2" s="1"/>
  <c r="K240" i="2"/>
  <c r="L240" i="2" s="1"/>
  <c r="K239" i="2"/>
  <c r="K214" i="2"/>
  <c r="K243" i="2"/>
  <c r="L243" i="2" s="1"/>
  <c r="K242" i="2"/>
  <c r="K225" i="2"/>
  <c r="L225" i="2" s="1"/>
  <c r="K222" i="2"/>
  <c r="L222" i="2" s="1"/>
  <c r="K265" i="2"/>
  <c r="L265" i="2" s="1"/>
  <c r="K235" i="2"/>
  <c r="L235" i="2" s="1"/>
  <c r="K250" i="2"/>
  <c r="K233" i="2"/>
  <c r="L233" i="2" s="1"/>
  <c r="K229" i="2"/>
  <c r="L229" i="2" s="1"/>
  <c r="K215" i="2"/>
  <c r="L215" i="2" s="1"/>
  <c r="K238" i="2"/>
  <c r="K212" i="2"/>
  <c r="L212" i="2" s="1"/>
  <c r="K232" i="2"/>
  <c r="L232" i="2" s="1"/>
  <c r="K228" i="2"/>
  <c r="L228" i="2" s="1"/>
  <c r="K226" i="2"/>
  <c r="L226" i="2" s="1"/>
  <c r="K218" i="2"/>
  <c r="R277" i="2"/>
  <c r="L276" i="2"/>
  <c r="R276" i="2"/>
  <c r="B276" i="2"/>
  <c r="B277" i="2"/>
  <c r="B274" i="2"/>
  <c r="B275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S478" i="1"/>
  <c r="U478" i="1" s="1"/>
  <c r="AD478" i="1"/>
  <c r="O478" i="1"/>
  <c r="B478" i="1"/>
  <c r="S477" i="1"/>
  <c r="U477" i="1" s="1"/>
  <c r="AD477" i="1"/>
  <c r="AB477" i="1"/>
  <c r="O477" i="1"/>
  <c r="B477" i="1"/>
  <c r="S326" i="1"/>
  <c r="U326" i="1" s="1"/>
  <c r="S387" i="1"/>
  <c r="U387" i="1" s="1"/>
  <c r="AD476" i="1"/>
  <c r="AB476" i="1"/>
  <c r="O476" i="1"/>
  <c r="B476" i="1"/>
  <c r="S475" i="1"/>
  <c r="U475" i="1" s="1"/>
  <c r="AD475" i="1"/>
  <c r="AB475" i="1"/>
  <c r="O475" i="1"/>
  <c r="B475" i="1"/>
  <c r="S474" i="1"/>
  <c r="U474" i="1" s="1"/>
  <c r="AD474" i="1"/>
  <c r="AB474" i="1"/>
  <c r="O474" i="1"/>
  <c r="B474" i="1"/>
  <c r="S473" i="1"/>
  <c r="U473" i="1" s="1"/>
  <c r="AD473" i="1"/>
  <c r="AB473" i="1"/>
  <c r="O473" i="1"/>
  <c r="B473" i="1"/>
  <c r="S472" i="1"/>
  <c r="U472" i="1" s="1"/>
  <c r="AD472" i="1"/>
  <c r="AB472" i="1"/>
  <c r="O472" i="1"/>
  <c r="B472" i="1"/>
  <c r="S471" i="1"/>
  <c r="U471" i="1" s="1"/>
  <c r="AD471" i="1"/>
  <c r="AB471" i="1"/>
  <c r="O471" i="1"/>
  <c r="B471" i="1"/>
  <c r="S470" i="1"/>
  <c r="U470" i="1" s="1"/>
  <c r="AD470" i="1"/>
  <c r="AB470" i="1"/>
  <c r="O470" i="1"/>
  <c r="B470" i="1"/>
  <c r="S469" i="1"/>
  <c r="U469" i="1" s="1"/>
  <c r="AD469" i="1"/>
  <c r="AB469" i="1"/>
  <c r="O469" i="1"/>
  <c r="B469" i="1"/>
  <c r="S468" i="1"/>
  <c r="U468" i="1" s="1"/>
  <c r="AD468" i="1"/>
  <c r="AB468" i="1"/>
  <c r="O468" i="1"/>
  <c r="B468" i="1"/>
  <c r="S467" i="1"/>
  <c r="U467" i="1" s="1"/>
  <c r="AD467" i="1"/>
  <c r="AB467" i="1"/>
  <c r="O467" i="1"/>
  <c r="B467" i="1"/>
  <c r="AD466" i="1"/>
  <c r="AB466" i="1"/>
  <c r="O466" i="1"/>
  <c r="B466" i="1"/>
  <c r="S465" i="1"/>
  <c r="U465" i="1" s="1"/>
  <c r="AD465" i="1"/>
  <c r="AB465" i="1"/>
  <c r="O465" i="1"/>
  <c r="B465" i="1"/>
  <c r="S464" i="1"/>
  <c r="U464" i="1" s="1"/>
  <c r="AD464" i="1"/>
  <c r="AB464" i="1"/>
  <c r="O464" i="1"/>
  <c r="B464" i="1"/>
  <c r="S463" i="1"/>
  <c r="U463" i="1" s="1"/>
  <c r="AD463" i="1"/>
  <c r="AB463" i="1"/>
  <c r="O463" i="1"/>
  <c r="B463" i="1"/>
  <c r="AD462" i="1"/>
  <c r="AB462" i="1"/>
  <c r="O462" i="1"/>
  <c r="B462" i="1"/>
  <c r="S461" i="1"/>
  <c r="U461" i="1" s="1"/>
  <c r="AD461" i="1"/>
  <c r="AB461" i="1"/>
  <c r="O461" i="1"/>
  <c r="B461" i="1"/>
  <c r="S460" i="1"/>
  <c r="U460" i="1" s="1"/>
  <c r="AD460" i="1"/>
  <c r="AB460" i="1"/>
  <c r="O460" i="1"/>
  <c r="B460" i="1"/>
  <c r="AD459" i="1"/>
  <c r="AB459" i="1"/>
  <c r="O459" i="1"/>
  <c r="B459" i="1"/>
  <c r="AD458" i="1"/>
  <c r="AB458" i="1"/>
  <c r="O458" i="1"/>
  <c r="B458" i="1"/>
  <c r="AD457" i="1"/>
  <c r="AB457" i="1"/>
  <c r="O457" i="1"/>
  <c r="B457" i="1"/>
  <c r="AD456" i="1"/>
  <c r="AB456" i="1"/>
  <c r="O456" i="1"/>
  <c r="B456" i="1"/>
  <c r="AD455" i="1"/>
  <c r="AB455" i="1"/>
  <c r="O455" i="1"/>
  <c r="B455" i="1"/>
  <c r="AD454" i="1"/>
  <c r="AB454" i="1"/>
  <c r="O454" i="1"/>
  <c r="B454" i="1"/>
  <c r="S453" i="1"/>
  <c r="U453" i="1" s="1"/>
  <c r="AD453" i="1"/>
  <c r="AB453" i="1"/>
  <c r="O453" i="1"/>
  <c r="B453" i="1"/>
  <c r="S452" i="1"/>
  <c r="U452" i="1" s="1"/>
  <c r="AD452" i="1"/>
  <c r="AB452" i="1"/>
  <c r="O452" i="1"/>
  <c r="B452" i="1"/>
  <c r="AD451" i="1"/>
  <c r="AB451" i="1"/>
  <c r="O451" i="1"/>
  <c r="B451" i="1"/>
  <c r="AD450" i="1"/>
  <c r="AB450" i="1"/>
  <c r="O450" i="1"/>
  <c r="B450" i="1"/>
  <c r="AD449" i="1"/>
  <c r="AB449" i="1"/>
  <c r="O449" i="1"/>
  <c r="B449" i="1"/>
  <c r="S448" i="1"/>
  <c r="U448" i="1" s="1"/>
  <c r="AD448" i="1"/>
  <c r="AB448" i="1"/>
  <c r="O448" i="1"/>
  <c r="B448" i="1"/>
  <c r="AD447" i="1"/>
  <c r="AB447" i="1"/>
  <c r="O447" i="1"/>
  <c r="B447" i="1"/>
  <c r="AD446" i="1"/>
  <c r="AB446" i="1"/>
  <c r="O446" i="1"/>
  <c r="B446" i="1"/>
  <c r="AD445" i="1"/>
  <c r="AB445" i="1"/>
  <c r="N445" i="1"/>
  <c r="O445" i="1" s="1"/>
  <c r="B445" i="1"/>
  <c r="O7" i="1"/>
  <c r="AD444" i="1"/>
  <c r="AB444" i="1"/>
  <c r="O444" i="1"/>
  <c r="B444" i="1"/>
  <c r="S443" i="1"/>
  <c r="U443" i="1" s="1"/>
  <c r="AD443" i="1"/>
  <c r="AB443" i="1"/>
  <c r="O443" i="1"/>
  <c r="B443" i="1"/>
  <c r="S442" i="1"/>
  <c r="U442" i="1" s="1"/>
  <c r="AD442" i="1"/>
  <c r="AB442" i="1"/>
  <c r="O442" i="1"/>
  <c r="B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7" i="1"/>
  <c r="O226" i="1"/>
  <c r="O225" i="1"/>
  <c r="O224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U12" i="1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3" i="2"/>
  <c r="L214" i="2"/>
  <c r="L216" i="2"/>
  <c r="L218" i="2"/>
  <c r="L224" i="2"/>
  <c r="L230" i="2"/>
  <c r="L231" i="2"/>
  <c r="L234" i="2"/>
  <c r="L238" i="2"/>
  <c r="L239" i="2"/>
  <c r="L241" i="2"/>
  <c r="L242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6" i="2"/>
  <c r="L267" i="2"/>
  <c r="L268" i="2"/>
  <c r="L269" i="2"/>
  <c r="L270" i="2"/>
  <c r="L271" i="2"/>
  <c r="L272" i="2"/>
  <c r="L273" i="2"/>
  <c r="L274" i="2"/>
  <c r="L275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6" i="1"/>
  <c r="O5" i="1"/>
  <c r="O4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9" i="1"/>
  <c r="B220" i="1"/>
  <c r="B221" i="1"/>
  <c r="B222" i="1"/>
  <c r="B224" i="1"/>
  <c r="B225" i="1"/>
  <c r="B226" i="1"/>
  <c r="B227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E17" i="4"/>
  <c r="D17" i="4"/>
  <c r="F3" i="4"/>
  <c r="F17" i="4"/>
  <c r="I16" i="4"/>
  <c r="H7" i="4"/>
  <c r="H8" i="4"/>
  <c r="N370" i="1"/>
  <c r="O370" i="1" s="1"/>
  <c r="N222" i="1"/>
  <c r="O222" i="1"/>
  <c r="N221" i="1"/>
  <c r="O221" i="1" s="1"/>
  <c r="N220" i="1"/>
  <c r="O220" i="1" s="1"/>
  <c r="N219" i="1"/>
  <c r="O219" i="1"/>
  <c r="I11" i="4"/>
  <c r="I10" i="4"/>
  <c r="X5" i="6"/>
  <c r="W21" i="6"/>
  <c r="W16" i="6"/>
  <c r="W9" i="6"/>
  <c r="I7" i="4"/>
  <c r="H4" i="4"/>
  <c r="H5" i="4"/>
  <c r="H3" i="4"/>
  <c r="H17" i="4"/>
  <c r="I12" i="4"/>
  <c r="I13" i="4"/>
  <c r="I14" i="4"/>
  <c r="I8" i="4"/>
  <c r="J7" i="4"/>
  <c r="I15" i="4"/>
  <c r="AD441" i="1"/>
  <c r="AD440" i="1"/>
  <c r="AD439" i="1"/>
  <c r="AD438" i="1"/>
  <c r="I17" i="4"/>
  <c r="T438" i="1"/>
  <c r="U438" i="1" s="1"/>
  <c r="AB441" i="1"/>
  <c r="AB440" i="1"/>
  <c r="AB439" i="1"/>
  <c r="AB438" i="1"/>
  <c r="AD437" i="1"/>
  <c r="AB437" i="1"/>
  <c r="AD436" i="1"/>
  <c r="AB436" i="1"/>
  <c r="R270" i="2"/>
  <c r="R264" i="2"/>
  <c r="R263" i="2"/>
  <c r="P261" i="2"/>
  <c r="R261" i="2"/>
  <c r="P269" i="2"/>
  <c r="R269" i="2" s="1"/>
  <c r="R272" i="2"/>
  <c r="R266" i="2"/>
  <c r="R265" i="2"/>
  <c r="R267" i="2"/>
  <c r="R268" i="2"/>
  <c r="R271" i="2"/>
  <c r="R273" i="2"/>
  <c r="R274" i="2"/>
  <c r="R250" i="2"/>
  <c r="R251" i="2"/>
  <c r="R252" i="2"/>
  <c r="R253" i="2"/>
  <c r="R254" i="2"/>
  <c r="R255" i="2"/>
  <c r="R256" i="2"/>
  <c r="R257" i="2"/>
  <c r="R258" i="2"/>
  <c r="R275" i="2"/>
  <c r="R262" i="2"/>
  <c r="R260" i="2"/>
  <c r="R259" i="2"/>
  <c r="R249" i="2"/>
  <c r="R248" i="2"/>
  <c r="R247" i="2"/>
  <c r="S433" i="1"/>
  <c r="U433" i="1" s="1"/>
  <c r="AD435" i="1"/>
  <c r="AB435" i="1"/>
  <c r="AD433" i="1"/>
  <c r="AB433" i="1"/>
  <c r="S423" i="1"/>
  <c r="U423" i="1" s="1"/>
  <c r="AD423" i="1"/>
  <c r="AB423" i="1"/>
  <c r="AD434" i="1"/>
  <c r="AB434" i="1"/>
  <c r="AD432" i="1"/>
  <c r="AB432" i="1"/>
  <c r="AD431" i="1"/>
  <c r="AB431" i="1"/>
  <c r="AD430" i="1"/>
  <c r="AB430" i="1"/>
  <c r="AD429" i="1"/>
  <c r="AB429" i="1"/>
  <c r="AD428" i="1"/>
  <c r="AB428" i="1"/>
  <c r="AD427" i="1"/>
  <c r="AB427" i="1"/>
  <c r="AD426" i="1"/>
  <c r="AB426" i="1"/>
  <c r="AD422" i="1"/>
  <c r="AB422" i="1"/>
  <c r="AD424" i="1"/>
  <c r="AB424" i="1"/>
  <c r="AD421" i="1"/>
  <c r="AB421" i="1"/>
  <c r="AD420" i="1"/>
  <c r="AB420" i="1"/>
  <c r="AD419" i="1"/>
  <c r="AB419" i="1"/>
  <c r="AD418" i="1"/>
  <c r="AB418" i="1"/>
  <c r="AD417" i="1"/>
  <c r="AB417" i="1"/>
  <c r="AD416" i="1"/>
  <c r="AB416" i="1"/>
  <c r="AD414" i="1"/>
  <c r="AB414" i="1"/>
  <c r="AD413" i="1"/>
  <c r="AB413" i="1"/>
  <c r="AD412" i="1"/>
  <c r="AB412" i="1"/>
  <c r="AD411" i="1"/>
  <c r="AB411" i="1"/>
  <c r="AD410" i="1"/>
  <c r="AB410" i="1"/>
  <c r="AD409" i="1"/>
  <c r="AB409" i="1"/>
  <c r="AD408" i="1"/>
  <c r="AB408" i="1"/>
  <c r="AD406" i="1"/>
  <c r="AB406" i="1"/>
  <c r="AD425" i="1"/>
  <c r="AB425" i="1"/>
  <c r="AD415" i="1"/>
  <c r="AB415" i="1"/>
  <c r="AD407" i="1"/>
  <c r="AB407" i="1"/>
  <c r="AD136" i="1"/>
  <c r="AB136" i="1"/>
  <c r="AD135" i="1"/>
  <c r="AB135" i="1"/>
  <c r="AD134" i="1"/>
  <c r="AB134" i="1"/>
  <c r="AD133" i="1"/>
  <c r="AB133" i="1"/>
  <c r="AD132" i="1"/>
  <c r="AB132" i="1"/>
  <c r="AD131" i="1"/>
  <c r="AB131" i="1"/>
  <c r="AD130" i="1"/>
  <c r="AB130" i="1"/>
  <c r="AD129" i="1"/>
  <c r="AB129" i="1"/>
  <c r="AD128" i="1"/>
  <c r="AB128" i="1"/>
  <c r="AD127" i="1"/>
  <c r="AB127" i="1"/>
  <c r="AD126" i="1"/>
  <c r="AB126" i="1"/>
  <c r="AD125" i="1"/>
  <c r="AB125" i="1"/>
  <c r="AD124" i="1"/>
  <c r="AB124" i="1"/>
  <c r="AD123" i="1"/>
  <c r="AB123" i="1"/>
  <c r="AD122" i="1"/>
  <c r="AB122" i="1"/>
  <c r="AD121" i="1"/>
  <c r="AB121" i="1"/>
  <c r="AD120" i="1"/>
  <c r="AB120" i="1"/>
  <c r="AD119" i="1"/>
  <c r="AB119" i="1"/>
  <c r="AD118" i="1"/>
  <c r="AB118" i="1"/>
  <c r="AD117" i="1"/>
  <c r="AB117" i="1"/>
  <c r="AD116" i="1"/>
  <c r="AB116" i="1"/>
  <c r="AD115" i="1"/>
  <c r="AB115" i="1"/>
  <c r="AD114" i="1"/>
  <c r="AB114" i="1"/>
  <c r="AD113" i="1"/>
  <c r="AB113" i="1"/>
  <c r="AD112" i="1"/>
  <c r="AB112" i="1"/>
  <c r="AD111" i="1"/>
  <c r="AB111" i="1"/>
  <c r="AD110" i="1"/>
  <c r="AB110" i="1"/>
  <c r="AD109" i="1"/>
  <c r="AB109" i="1"/>
  <c r="AD108" i="1"/>
  <c r="AB108" i="1"/>
  <c r="AD107" i="1"/>
  <c r="AB107" i="1"/>
  <c r="AD106" i="1"/>
  <c r="AB106" i="1"/>
  <c r="AD105" i="1"/>
  <c r="AB105" i="1"/>
  <c r="AD104" i="1"/>
  <c r="AB104" i="1"/>
  <c r="AD103" i="1"/>
  <c r="AB103" i="1"/>
  <c r="AD102" i="1"/>
  <c r="AB102" i="1"/>
  <c r="AD101" i="1"/>
  <c r="AB101" i="1"/>
  <c r="AD95" i="1"/>
  <c r="AB95" i="1"/>
  <c r="AD94" i="1"/>
  <c r="AB94" i="1"/>
  <c r="AD93" i="1"/>
  <c r="AB93" i="1"/>
  <c r="AD92" i="1"/>
  <c r="AB92" i="1"/>
  <c r="AD91" i="1"/>
  <c r="AB91" i="1"/>
  <c r="AD90" i="1"/>
  <c r="AB90" i="1"/>
  <c r="AD89" i="1"/>
  <c r="AB89" i="1"/>
  <c r="AD88" i="1"/>
  <c r="AB88" i="1"/>
  <c r="AD87" i="1"/>
  <c r="AB87" i="1"/>
  <c r="AD86" i="1"/>
  <c r="AB86" i="1"/>
  <c r="AD85" i="1"/>
  <c r="AB85" i="1"/>
  <c r="AD84" i="1"/>
  <c r="AB84" i="1"/>
  <c r="AD83" i="1"/>
  <c r="AB83" i="1"/>
  <c r="AD82" i="1"/>
  <c r="AB82" i="1"/>
  <c r="AD81" i="1"/>
  <c r="AB81" i="1"/>
  <c r="AD80" i="1"/>
  <c r="AB80" i="1"/>
  <c r="AD79" i="1"/>
  <c r="AB79" i="1"/>
  <c r="AD78" i="1"/>
  <c r="AB78" i="1"/>
  <c r="AD77" i="1"/>
  <c r="AB77" i="1"/>
  <c r="AD76" i="1"/>
  <c r="AB76" i="1"/>
  <c r="AD75" i="1"/>
  <c r="AB75" i="1"/>
  <c r="AD74" i="1"/>
  <c r="AB74" i="1"/>
  <c r="AD73" i="1"/>
  <c r="AB73" i="1"/>
  <c r="AD72" i="1"/>
  <c r="AB72" i="1"/>
  <c r="AD71" i="1"/>
  <c r="AB71" i="1"/>
  <c r="AD70" i="1"/>
  <c r="AB70" i="1"/>
  <c r="AD69" i="1"/>
  <c r="AB69" i="1"/>
  <c r="AD68" i="1"/>
  <c r="AB68" i="1"/>
  <c r="AD67" i="1"/>
  <c r="AB67" i="1"/>
  <c r="AD66" i="1"/>
  <c r="AB66" i="1"/>
  <c r="AD65" i="1"/>
  <c r="AB65" i="1"/>
  <c r="AD64" i="1"/>
  <c r="AB64" i="1"/>
  <c r="AD63" i="1"/>
  <c r="AB63" i="1"/>
  <c r="AD62" i="1"/>
  <c r="AB62" i="1"/>
  <c r="AD61" i="1"/>
  <c r="AB61" i="1"/>
  <c r="AD60" i="1"/>
  <c r="AB60" i="1"/>
  <c r="AD59" i="1"/>
  <c r="AB59" i="1"/>
  <c r="AD58" i="1"/>
  <c r="AB58" i="1"/>
  <c r="AD57" i="1"/>
  <c r="AB57" i="1"/>
  <c r="AD56" i="1"/>
  <c r="AB56" i="1"/>
  <c r="AD51" i="1"/>
  <c r="AB51" i="1"/>
  <c r="AD50" i="1"/>
  <c r="AB50" i="1"/>
  <c r="AD49" i="1"/>
  <c r="AB49" i="1"/>
  <c r="AD48" i="1"/>
  <c r="AB48" i="1"/>
  <c r="AD47" i="1"/>
  <c r="AB47" i="1"/>
  <c r="AD46" i="1"/>
  <c r="AB46" i="1"/>
  <c r="AD45" i="1"/>
  <c r="AB45" i="1"/>
  <c r="AD44" i="1"/>
  <c r="AB44" i="1"/>
  <c r="AD43" i="1"/>
  <c r="AB43" i="1"/>
  <c r="AD42" i="1"/>
  <c r="AB42" i="1"/>
  <c r="AD41" i="1"/>
  <c r="AB41" i="1"/>
  <c r="AD40" i="1"/>
  <c r="AB40" i="1"/>
  <c r="AD39" i="1"/>
  <c r="AB39" i="1"/>
  <c r="AD38" i="1"/>
  <c r="AB38" i="1"/>
  <c r="AD37" i="1"/>
  <c r="AB37" i="1"/>
  <c r="AD36" i="1"/>
  <c r="AB36" i="1"/>
  <c r="AD35" i="1"/>
  <c r="AB35" i="1"/>
  <c r="AD34" i="1"/>
  <c r="AB34" i="1"/>
  <c r="AD33" i="1"/>
  <c r="AB33" i="1"/>
  <c r="AD32" i="1"/>
  <c r="AB32" i="1"/>
  <c r="AD31" i="1"/>
  <c r="AB31" i="1"/>
  <c r="AD30" i="1"/>
  <c r="AB30" i="1"/>
  <c r="AD29" i="1"/>
  <c r="AB29" i="1"/>
  <c r="AD28" i="1"/>
  <c r="AB28" i="1"/>
  <c r="AD27" i="1"/>
  <c r="AB27" i="1"/>
  <c r="AD26" i="1"/>
  <c r="AB26" i="1"/>
  <c r="AD25" i="1"/>
  <c r="AB25" i="1"/>
  <c r="AD24" i="1"/>
  <c r="AB24" i="1"/>
  <c r="AD23" i="1"/>
  <c r="AB23" i="1"/>
  <c r="AD22" i="1"/>
  <c r="AB22" i="1"/>
  <c r="AD21" i="1"/>
  <c r="AB21" i="1"/>
  <c r="AD20" i="1"/>
  <c r="AB20" i="1"/>
  <c r="AD19" i="1"/>
  <c r="AB19" i="1"/>
  <c r="AD18" i="1"/>
  <c r="AB18" i="1"/>
  <c r="AD17" i="1"/>
  <c r="AB17" i="1"/>
  <c r="AD16" i="1"/>
  <c r="AB16" i="1"/>
  <c r="AD11" i="1"/>
  <c r="AB11" i="1"/>
  <c r="U11" i="1"/>
  <c r="AD10" i="1"/>
  <c r="AB10" i="1"/>
  <c r="U10" i="1"/>
  <c r="AD9" i="1"/>
  <c r="AB9" i="1"/>
  <c r="U9" i="1"/>
  <c r="AD8" i="1"/>
  <c r="AB8" i="1"/>
  <c r="U8" i="1"/>
  <c r="AD7" i="1"/>
  <c r="AB7" i="1"/>
  <c r="U7" i="1"/>
  <c r="AD6" i="1"/>
  <c r="AB6" i="1"/>
  <c r="U6" i="1"/>
  <c r="AD5" i="1"/>
  <c r="AB5" i="1"/>
  <c r="U5" i="1"/>
  <c r="AD4" i="1"/>
  <c r="AB4" i="1"/>
  <c r="U4" i="1"/>
  <c r="AD15" i="1"/>
  <c r="AB15" i="1"/>
  <c r="AD14" i="1"/>
  <c r="AB14" i="1"/>
  <c r="U14" i="1"/>
  <c r="AD13" i="1"/>
  <c r="AB13" i="1"/>
  <c r="U13" i="1"/>
  <c r="AD12" i="1"/>
  <c r="AB12" i="1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17" i="2"/>
  <c r="R227" i="2"/>
  <c r="R226" i="2"/>
  <c r="R225" i="2"/>
  <c r="R224" i="2"/>
  <c r="R223" i="2"/>
  <c r="R218" i="2"/>
  <c r="R219" i="2"/>
  <c r="R211" i="2"/>
  <c r="R212" i="2"/>
  <c r="R213" i="2"/>
  <c r="R214" i="2"/>
  <c r="R215" i="2"/>
  <c r="R216" i="2"/>
  <c r="R220" i="2"/>
  <c r="R221" i="2"/>
  <c r="R222" i="2"/>
  <c r="R228" i="2"/>
  <c r="R229" i="2"/>
  <c r="R230" i="2"/>
  <c r="R231" i="2"/>
  <c r="P210" i="2"/>
  <c r="R210" i="2"/>
  <c r="P209" i="2"/>
  <c r="R209" i="2"/>
  <c r="P208" i="2"/>
  <c r="R208" i="2" s="1"/>
  <c r="P207" i="2"/>
  <c r="R207" i="2" s="1"/>
  <c r="P206" i="2"/>
  <c r="R206" i="2" s="1"/>
  <c r="P205" i="2"/>
  <c r="R205" i="2" s="1"/>
  <c r="P204" i="2"/>
  <c r="R204" i="2"/>
  <c r="P203" i="2"/>
  <c r="R203" i="2" s="1"/>
  <c r="P202" i="2"/>
  <c r="R202" i="2"/>
  <c r="P201" i="2"/>
  <c r="R201" i="2"/>
  <c r="P200" i="2"/>
  <c r="R200" i="2"/>
  <c r="P199" i="2"/>
  <c r="R199" i="2"/>
  <c r="P198" i="2"/>
  <c r="R198" i="2" s="1"/>
  <c r="P194" i="2"/>
  <c r="R194" i="2" s="1"/>
  <c r="P193" i="2"/>
  <c r="R193" i="2" s="1"/>
  <c r="P192" i="2"/>
  <c r="R192" i="2"/>
  <c r="P191" i="2"/>
  <c r="R191" i="2"/>
  <c r="P190" i="2"/>
  <c r="R190" i="2" s="1"/>
  <c r="P189" i="2"/>
  <c r="R189" i="2"/>
  <c r="P188" i="2"/>
  <c r="R188" i="2" s="1"/>
  <c r="P186" i="2"/>
  <c r="R186" i="2" s="1"/>
  <c r="P187" i="2"/>
  <c r="R187" i="2" s="1"/>
  <c r="P185" i="2"/>
  <c r="R185" i="2" s="1"/>
  <c r="P184" i="2"/>
  <c r="P183" i="2"/>
  <c r="P182" i="2"/>
  <c r="P181" i="2"/>
  <c r="P180" i="2"/>
  <c r="P179" i="2"/>
  <c r="R179" i="2" s="1"/>
  <c r="P178" i="2"/>
  <c r="R178" i="2" s="1"/>
  <c r="P177" i="2"/>
  <c r="R177" i="2" s="1"/>
  <c r="P176" i="2"/>
  <c r="R176" i="2" s="1"/>
  <c r="P175" i="2"/>
  <c r="P174" i="2"/>
  <c r="P173" i="2"/>
  <c r="P172" i="2"/>
  <c r="R172" i="2" s="1"/>
  <c r="P171" i="2"/>
  <c r="R171" i="2" s="1"/>
  <c r="P170" i="2"/>
  <c r="R170" i="2" s="1"/>
  <c r="P169" i="2"/>
  <c r="R169" i="2" s="1"/>
  <c r="P168" i="2"/>
  <c r="P167" i="2"/>
  <c r="R167" i="2" s="1"/>
  <c r="P166" i="2"/>
  <c r="R166" i="2" s="1"/>
  <c r="R233" i="2"/>
  <c r="R232" i="2"/>
  <c r="R184" i="2"/>
  <c r="R183" i="2"/>
  <c r="R182" i="2"/>
  <c r="R181" i="2"/>
  <c r="R180" i="2"/>
  <c r="R175" i="2"/>
  <c r="R174" i="2"/>
  <c r="R173" i="2"/>
  <c r="R168" i="2"/>
  <c r="R165" i="2"/>
  <c r="R164" i="2"/>
  <c r="R163" i="2"/>
  <c r="R162" i="2"/>
  <c r="R161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P125" i="2"/>
  <c r="R125" i="2" s="1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29" i="2"/>
  <c r="R128" i="2"/>
  <c r="R127" i="2"/>
  <c r="R126" i="2"/>
  <c r="R124" i="2"/>
  <c r="R123" i="2"/>
  <c r="R122" i="2"/>
  <c r="R117" i="2"/>
  <c r="R118" i="2"/>
  <c r="R119" i="2"/>
  <c r="R120" i="2"/>
  <c r="R121" i="2"/>
  <c r="R116" i="2"/>
  <c r="AD405" i="1"/>
  <c r="AB405" i="1"/>
  <c r="AD404" i="1"/>
  <c r="AB404" i="1"/>
  <c r="AD403" i="1"/>
  <c r="AB403" i="1"/>
  <c r="AD402" i="1"/>
  <c r="AB402" i="1"/>
  <c r="AD401" i="1"/>
  <c r="AB401" i="1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171" i="1"/>
  <c r="AD171" i="1" s="1"/>
  <c r="AB227" i="1"/>
  <c r="AD227" i="1"/>
  <c r="AB229" i="1"/>
  <c r="AD229" i="1"/>
  <c r="AB230" i="1"/>
  <c r="AD230" i="1"/>
  <c r="AB231" i="1"/>
  <c r="AD231" i="1"/>
  <c r="AB232" i="1"/>
  <c r="AD232" i="1"/>
  <c r="AB233" i="1"/>
  <c r="AD233" i="1"/>
  <c r="AB234" i="1"/>
  <c r="AD234" i="1"/>
  <c r="AB235" i="1"/>
  <c r="AD235" i="1"/>
  <c r="AB236" i="1"/>
  <c r="AD236" i="1"/>
  <c r="AB237" i="1"/>
  <c r="AD237" i="1"/>
  <c r="AB238" i="1"/>
  <c r="AD238" i="1"/>
  <c r="AB239" i="1"/>
  <c r="AD239" i="1"/>
  <c r="AB240" i="1"/>
  <c r="AD240" i="1"/>
  <c r="AB241" i="1"/>
  <c r="AD241" i="1"/>
  <c r="AB242" i="1"/>
  <c r="AD242" i="1"/>
  <c r="AB243" i="1"/>
  <c r="AD243" i="1"/>
  <c r="AB244" i="1"/>
  <c r="AD244" i="1"/>
  <c r="AB245" i="1"/>
  <c r="AD245" i="1"/>
  <c r="AB246" i="1"/>
  <c r="AD246" i="1"/>
  <c r="AB247" i="1"/>
  <c r="AD247" i="1"/>
  <c r="AB250" i="1"/>
  <c r="AD250" i="1"/>
  <c r="AB251" i="1"/>
  <c r="AD251" i="1"/>
  <c r="AB252" i="1"/>
  <c r="AD252" i="1"/>
  <c r="AB253" i="1"/>
  <c r="AD253" i="1"/>
  <c r="AB254" i="1"/>
  <c r="AD254" i="1"/>
  <c r="AB255" i="1"/>
  <c r="AD255" i="1"/>
  <c r="AB256" i="1"/>
  <c r="AD256" i="1"/>
  <c r="AB257" i="1"/>
  <c r="AD257" i="1"/>
  <c r="AB258" i="1"/>
  <c r="AD258" i="1"/>
  <c r="AB259" i="1"/>
  <c r="AD259" i="1"/>
  <c r="AB260" i="1"/>
  <c r="AD260" i="1"/>
  <c r="AB261" i="1"/>
  <c r="AD261" i="1"/>
  <c r="AB262" i="1"/>
  <c r="AD262" i="1"/>
  <c r="AB263" i="1"/>
  <c r="AD263" i="1"/>
  <c r="AB264" i="1"/>
  <c r="AD264" i="1"/>
  <c r="AB265" i="1"/>
  <c r="AD265" i="1"/>
  <c r="AB266" i="1"/>
  <c r="AD266" i="1"/>
  <c r="AB267" i="1"/>
  <c r="AD267" i="1"/>
  <c r="AB268" i="1"/>
  <c r="AD268" i="1"/>
  <c r="AB269" i="1"/>
  <c r="AD269" i="1"/>
  <c r="AB270" i="1"/>
  <c r="AD270" i="1"/>
  <c r="AB271" i="1"/>
  <c r="AD271" i="1"/>
  <c r="AB272" i="1"/>
  <c r="AD272" i="1"/>
  <c r="AB273" i="1"/>
  <c r="AD273" i="1"/>
  <c r="AB274" i="1"/>
  <c r="AD274" i="1"/>
  <c r="AB275" i="1"/>
  <c r="AD275" i="1"/>
  <c r="AB276" i="1"/>
  <c r="AD276" i="1"/>
  <c r="AB277" i="1"/>
  <c r="AD277" i="1"/>
  <c r="AB278" i="1"/>
  <c r="AD278" i="1"/>
  <c r="AB279" i="1"/>
  <c r="AD279" i="1"/>
  <c r="AB280" i="1"/>
  <c r="AD280" i="1"/>
  <c r="AB281" i="1"/>
  <c r="AD281" i="1"/>
  <c r="AB282" i="1"/>
  <c r="AD282" i="1"/>
  <c r="AB283" i="1"/>
  <c r="AD283" i="1"/>
  <c r="AB284" i="1"/>
  <c r="AD284" i="1"/>
  <c r="AB285" i="1"/>
  <c r="AD285" i="1"/>
  <c r="AB286" i="1"/>
  <c r="AD286" i="1"/>
  <c r="AB287" i="1"/>
  <c r="AD287" i="1"/>
  <c r="AB288" i="1"/>
  <c r="AD288" i="1"/>
  <c r="AB289" i="1"/>
  <c r="AD289" i="1"/>
  <c r="AB290" i="1"/>
  <c r="AD290" i="1"/>
  <c r="AB291" i="1"/>
  <c r="AD291" i="1"/>
  <c r="AB292" i="1"/>
  <c r="AD292" i="1"/>
  <c r="AB293" i="1"/>
  <c r="AD293" i="1"/>
  <c r="AB294" i="1"/>
  <c r="AD294" i="1"/>
  <c r="AB295" i="1"/>
  <c r="AD295" i="1"/>
  <c r="AB296" i="1"/>
  <c r="AD296" i="1"/>
  <c r="AB297" i="1"/>
  <c r="AD297" i="1"/>
  <c r="AB298" i="1"/>
  <c r="AD298" i="1"/>
  <c r="AB299" i="1"/>
  <c r="AD299" i="1"/>
  <c r="AB300" i="1"/>
  <c r="AD300" i="1"/>
  <c r="AB301" i="1"/>
  <c r="AD301" i="1"/>
  <c r="AB302" i="1"/>
  <c r="AD302" i="1"/>
  <c r="AB303" i="1"/>
  <c r="AD303" i="1"/>
  <c r="AB304" i="1"/>
  <c r="AD304" i="1"/>
  <c r="AB305" i="1"/>
  <c r="AD305" i="1"/>
  <c r="AB306" i="1"/>
  <c r="AD306" i="1"/>
  <c r="AB307" i="1"/>
  <c r="AD307" i="1"/>
  <c r="AB308" i="1"/>
  <c r="AD308" i="1"/>
  <c r="AB309" i="1"/>
  <c r="AD309" i="1"/>
  <c r="AB310" i="1"/>
  <c r="AD310" i="1"/>
  <c r="AB311" i="1"/>
  <c r="AD311" i="1"/>
  <c r="AB312" i="1"/>
  <c r="AD312" i="1"/>
  <c r="AB313" i="1"/>
  <c r="AD313" i="1"/>
  <c r="AB314" i="1"/>
  <c r="AD314" i="1"/>
  <c r="AB315" i="1"/>
  <c r="AD315" i="1"/>
  <c r="AB316" i="1"/>
  <c r="AD316" i="1"/>
  <c r="AB317" i="1"/>
  <c r="AD317" i="1"/>
  <c r="AB318" i="1"/>
  <c r="AD318" i="1"/>
  <c r="AB319" i="1"/>
  <c r="AD319" i="1"/>
  <c r="AB320" i="1"/>
  <c r="AD320" i="1"/>
  <c r="AB321" i="1"/>
  <c r="AD321" i="1"/>
  <c r="AB322" i="1"/>
  <c r="AD322" i="1"/>
  <c r="AB323" i="1"/>
  <c r="AD323" i="1"/>
  <c r="AB324" i="1"/>
  <c r="AD324" i="1"/>
  <c r="AB325" i="1"/>
  <c r="AD325" i="1"/>
  <c r="AB326" i="1"/>
  <c r="AD326" i="1"/>
  <c r="AB327" i="1"/>
  <c r="AD327" i="1"/>
  <c r="AB328" i="1"/>
  <c r="AD328" i="1"/>
  <c r="AB329" i="1"/>
  <c r="AD329" i="1"/>
  <c r="AB330" i="1"/>
  <c r="AD330" i="1"/>
  <c r="AB331" i="1"/>
  <c r="AD331" i="1"/>
  <c r="AB332" i="1"/>
  <c r="AD332" i="1"/>
  <c r="AB333" i="1"/>
  <c r="AD333" i="1"/>
  <c r="AB334" i="1"/>
  <c r="AD334" i="1"/>
  <c r="AB335" i="1"/>
  <c r="AD335" i="1"/>
  <c r="AB336" i="1"/>
  <c r="AD336" i="1"/>
  <c r="AB337" i="1"/>
  <c r="AD337" i="1"/>
  <c r="AB338" i="1"/>
  <c r="AD338" i="1"/>
  <c r="AB339" i="1"/>
  <c r="AD339" i="1"/>
  <c r="AB340" i="1"/>
  <c r="AD340" i="1"/>
  <c r="AB341" i="1"/>
  <c r="AD341" i="1"/>
  <c r="AB342" i="1"/>
  <c r="AD342" i="1"/>
  <c r="AB343" i="1"/>
  <c r="AD343" i="1"/>
  <c r="AB344" i="1"/>
  <c r="AD344" i="1"/>
  <c r="AB345" i="1"/>
  <c r="AD345" i="1"/>
  <c r="AB346" i="1"/>
  <c r="AD346" i="1"/>
  <c r="AB347" i="1"/>
  <c r="AD347" i="1"/>
  <c r="AB348" i="1"/>
  <c r="AD348" i="1"/>
  <c r="AB349" i="1"/>
  <c r="AD349" i="1"/>
  <c r="AB350" i="1"/>
  <c r="AD350" i="1"/>
  <c r="AB351" i="1"/>
  <c r="AD351" i="1"/>
  <c r="AB352" i="1"/>
  <c r="AD352" i="1"/>
  <c r="AB353" i="1"/>
  <c r="AD353" i="1"/>
  <c r="AB354" i="1"/>
  <c r="AD354" i="1"/>
  <c r="AB355" i="1"/>
  <c r="AD355" i="1"/>
  <c r="AB356" i="1"/>
  <c r="AD356" i="1"/>
  <c r="AB357" i="1"/>
  <c r="AD357" i="1"/>
  <c r="AB358" i="1"/>
  <c r="AD358" i="1"/>
  <c r="AB359" i="1"/>
  <c r="AD359" i="1"/>
  <c r="AB360" i="1"/>
  <c r="AD360" i="1"/>
  <c r="AB361" i="1"/>
  <c r="AD361" i="1"/>
  <c r="AB362" i="1"/>
  <c r="AD362" i="1"/>
  <c r="AB363" i="1"/>
  <c r="AD363" i="1"/>
  <c r="AB364" i="1"/>
  <c r="AD364" i="1"/>
  <c r="AB365" i="1"/>
  <c r="AD365" i="1"/>
  <c r="AB366" i="1"/>
  <c r="AD366" i="1"/>
  <c r="AB367" i="1"/>
  <c r="AD367" i="1"/>
  <c r="AB368" i="1"/>
  <c r="AD368" i="1"/>
  <c r="AB369" i="1"/>
  <c r="AD369" i="1"/>
  <c r="AD370" i="1"/>
  <c r="AB371" i="1"/>
  <c r="AD371" i="1"/>
  <c r="AB372" i="1"/>
  <c r="AD372" i="1"/>
  <c r="AB373" i="1"/>
  <c r="AD373" i="1"/>
  <c r="AB374" i="1"/>
  <c r="AD374" i="1"/>
  <c r="AB375" i="1"/>
  <c r="AD375" i="1"/>
  <c r="AB376" i="1"/>
  <c r="AD376" i="1"/>
  <c r="AB377" i="1"/>
  <c r="AD377" i="1"/>
  <c r="AB378" i="1"/>
  <c r="AD378" i="1"/>
  <c r="AB379" i="1"/>
  <c r="AD379" i="1"/>
  <c r="AB380" i="1"/>
  <c r="AD380" i="1"/>
  <c r="AB381" i="1"/>
  <c r="AD381" i="1"/>
  <c r="AB382" i="1"/>
  <c r="AD382" i="1"/>
  <c r="AB383" i="1"/>
  <c r="AD383" i="1"/>
  <c r="AB384" i="1"/>
  <c r="AD384" i="1"/>
  <c r="AB385" i="1"/>
  <c r="AD385" i="1"/>
  <c r="AB386" i="1"/>
  <c r="AD386" i="1"/>
  <c r="AB387" i="1"/>
  <c r="AD387" i="1"/>
  <c r="AB388" i="1"/>
  <c r="AD388" i="1"/>
  <c r="AB389" i="1"/>
  <c r="AD389" i="1"/>
  <c r="AB390" i="1"/>
  <c r="AD390" i="1"/>
  <c r="AB391" i="1"/>
  <c r="AD391" i="1"/>
  <c r="AB392" i="1"/>
  <c r="AD392" i="1"/>
  <c r="AB393" i="1"/>
  <c r="AD393" i="1"/>
  <c r="AB394" i="1"/>
  <c r="AD394" i="1"/>
  <c r="AB395" i="1"/>
  <c r="AD395" i="1"/>
  <c r="AB396" i="1"/>
  <c r="AD396" i="1"/>
  <c r="AB397" i="1"/>
  <c r="AD397" i="1"/>
  <c r="AB398" i="1"/>
  <c r="AD398" i="1"/>
  <c r="AB399" i="1"/>
  <c r="AD399" i="1"/>
  <c r="AB400" i="1"/>
  <c r="AD400" i="1"/>
  <c r="AB53" i="1"/>
  <c r="AB54" i="1"/>
  <c r="AB55" i="1"/>
  <c r="AB96" i="1"/>
  <c r="AB97" i="1"/>
  <c r="AB98" i="1"/>
  <c r="AB99" i="1"/>
  <c r="AB100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9" i="1"/>
  <c r="AB220" i="1"/>
  <c r="AB221" i="1"/>
  <c r="AB222" i="1"/>
  <c r="AB224" i="1"/>
  <c r="AB225" i="1"/>
  <c r="AB226" i="1"/>
  <c r="AB52" i="1"/>
  <c r="AD53" i="1"/>
  <c r="AD54" i="1"/>
  <c r="AD55" i="1"/>
  <c r="AD96" i="1"/>
  <c r="AD97" i="1"/>
  <c r="AD98" i="1"/>
  <c r="AD99" i="1"/>
  <c r="AD100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9" i="1"/>
  <c r="AD220" i="1"/>
  <c r="AD221" i="1"/>
  <c r="AD222" i="1"/>
  <c r="AD224" i="1"/>
  <c r="AD225" i="1"/>
  <c r="AD226" i="1"/>
  <c r="AD52" i="1"/>
  <c r="C14" i="5" a="1"/>
  <c r="C8" i="5" a="1"/>
  <c r="C8" i="5" l="1"/>
  <c r="C14" i="5"/>
  <c r="U397" i="1"/>
  <c r="U211" i="1"/>
  <c r="U212" i="1" s="1"/>
  <c r="U213" i="1" s="1"/>
  <c r="U214" i="1" s="1"/>
  <c r="U215" i="1" s="1"/>
  <c r="U216" i="1" s="1"/>
  <c r="U217" i="1" s="1"/>
  <c r="U349" i="1"/>
  <c r="U354" i="1"/>
  <c r="U353" i="1"/>
  <c r="S547" i="1"/>
  <c r="S581" i="1" s="1"/>
  <c r="S551" i="1"/>
  <c r="S585" i="1" s="1"/>
  <c r="U458" i="1"/>
  <c r="U451" i="1"/>
  <c r="U342" i="1"/>
  <c r="U222" i="1"/>
  <c r="S552" i="1"/>
  <c r="S586" i="1" s="1"/>
  <c r="S576" i="1"/>
  <c r="S610" i="1" s="1"/>
  <c r="U610" i="1" s="1"/>
  <c r="U341" i="1"/>
  <c r="U221" i="1"/>
  <c r="S553" i="1"/>
  <c r="S587" i="1" s="1"/>
  <c r="S561" i="1"/>
  <c r="S595" i="1" s="1"/>
  <c r="U361" i="1"/>
  <c r="U282" i="1"/>
  <c r="U197" i="1"/>
  <c r="U198" i="1" s="1"/>
  <c r="U199" i="1" s="1"/>
  <c r="U200" i="1" s="1"/>
  <c r="U201" i="1" s="1"/>
  <c r="U202" i="1" s="1"/>
  <c r="U203" i="1" s="1"/>
  <c r="U377" i="1"/>
  <c r="U281" i="1"/>
  <c r="S578" i="1"/>
  <c r="S607" i="1" s="1"/>
  <c r="S636" i="1" s="1"/>
  <c r="U636" i="1" s="1"/>
  <c r="U466" i="1"/>
  <c r="U454" i="1"/>
  <c r="U393" i="1"/>
  <c r="U357" i="1"/>
  <c r="U392" i="1"/>
  <c r="U356" i="1"/>
  <c r="U344" i="1"/>
  <c r="U284" i="1"/>
  <c r="U391" i="1"/>
  <c r="U343" i="1"/>
  <c r="U283" i="1"/>
  <c r="U223" i="1"/>
  <c r="U364" i="1"/>
  <c r="U352" i="1"/>
  <c r="U220" i="1"/>
  <c r="U399" i="1"/>
  <c r="U363" i="1"/>
  <c r="U351" i="1"/>
  <c r="U339" i="1"/>
  <c r="U219" i="1"/>
  <c r="U459" i="1"/>
  <c r="U362" i="1"/>
  <c r="U338" i="1"/>
  <c r="U218" i="1"/>
  <c r="U337" i="1"/>
  <c r="U457" i="1"/>
  <c r="U445" i="1"/>
  <c r="U396" i="1"/>
  <c r="U348" i="1"/>
  <c r="U336" i="1"/>
  <c r="U168" i="1"/>
  <c r="U395" i="1"/>
  <c r="U359" i="1"/>
  <c r="U347" i="1"/>
  <c r="U455" i="1"/>
  <c r="U394" i="1"/>
  <c r="U370" i="1"/>
  <c r="U358" i="1"/>
  <c r="U346" i="1"/>
  <c r="S514" i="1"/>
  <c r="S515" i="1"/>
  <c r="S482" i="1"/>
  <c r="U482" i="1" s="1"/>
  <c r="S229" i="1"/>
  <c r="S225" i="1"/>
  <c r="S449" i="1"/>
  <c r="U449" i="1" s="1"/>
  <c r="AB171" i="1"/>
  <c r="S505" i="1"/>
  <c r="S539" i="1" s="1"/>
  <c r="S509" i="1"/>
  <c r="S543" i="1" s="1"/>
  <c r="O218" i="1"/>
  <c r="S499" i="1"/>
  <c r="S533" i="1" s="1"/>
  <c r="S500" i="1"/>
  <c r="S534" i="1" s="1"/>
  <c r="S502" i="1"/>
  <c r="S536" i="1" s="1"/>
  <c r="S503" i="1"/>
  <c r="S537" i="1" s="1"/>
  <c r="S504" i="1"/>
  <c r="S538" i="1" s="1"/>
  <c r="S494" i="1"/>
  <c r="S528" i="1" s="1"/>
  <c r="S495" i="1"/>
  <c r="S529" i="1" s="1"/>
  <c r="S496" i="1"/>
  <c r="S530" i="1" s="1"/>
  <c r="S497" i="1"/>
  <c r="S531" i="1" s="1"/>
  <c r="S498" i="1"/>
  <c r="S532" i="1" s="1"/>
  <c r="S489" i="1"/>
  <c r="S523" i="1" s="1"/>
  <c r="S490" i="1"/>
  <c r="S524" i="1" s="1"/>
  <c r="S491" i="1"/>
  <c r="S525" i="1" s="1"/>
  <c r="S492" i="1"/>
  <c r="S526" i="1" s="1"/>
  <c r="S487" i="1"/>
  <c r="S521" i="1" s="1"/>
  <c r="S488" i="1"/>
  <c r="S522" i="1" s="1"/>
  <c r="S249" i="1"/>
  <c r="U249" i="1" s="1"/>
  <c r="S476" i="1"/>
  <c r="U476" i="1" s="1"/>
  <c r="U585" i="1" l="1"/>
  <c r="S619" i="1"/>
  <c r="U619" i="1" s="1"/>
  <c r="U581" i="1"/>
  <c r="S615" i="1"/>
  <c r="U615" i="1" s="1"/>
  <c r="U595" i="1"/>
  <c r="S629" i="1"/>
  <c r="U629" i="1" s="1"/>
  <c r="U587" i="1"/>
  <c r="S621" i="1"/>
  <c r="U621" i="1" s="1"/>
  <c r="U586" i="1"/>
  <c r="S620" i="1"/>
  <c r="U620" i="1" s="1"/>
  <c r="U607" i="1"/>
  <c r="S612" i="1"/>
  <c r="U612" i="1" s="1"/>
  <c r="U576" i="1"/>
  <c r="U578" i="1"/>
  <c r="U561" i="1"/>
  <c r="U553" i="1"/>
  <c r="U552" i="1"/>
  <c r="U551" i="1"/>
  <c r="U547" i="1"/>
  <c r="U536" i="1"/>
  <c r="S570" i="1"/>
  <c r="S604" i="1" s="1"/>
  <c r="U604" i="1" s="1"/>
  <c r="U533" i="1"/>
  <c r="S567" i="1"/>
  <c r="S601" i="1" s="1"/>
  <c r="U523" i="1"/>
  <c r="S557" i="1"/>
  <c r="S591" i="1" s="1"/>
  <c r="U543" i="1"/>
  <c r="S577" i="1"/>
  <c r="U532" i="1"/>
  <c r="S566" i="1"/>
  <c r="S600" i="1" s="1"/>
  <c r="U539" i="1"/>
  <c r="S573" i="1"/>
  <c r="U573" i="1" s="1"/>
  <c r="U531" i="1"/>
  <c r="S565" i="1"/>
  <c r="S599" i="1" s="1"/>
  <c r="U525" i="1"/>
  <c r="S559" i="1"/>
  <c r="S593" i="1" s="1"/>
  <c r="U534" i="1"/>
  <c r="S568" i="1"/>
  <c r="S602" i="1" s="1"/>
  <c r="U602" i="1" s="1"/>
  <c r="U529" i="1"/>
  <c r="S563" i="1"/>
  <c r="S597" i="1" s="1"/>
  <c r="U521" i="1"/>
  <c r="S555" i="1"/>
  <c r="S589" i="1" s="1"/>
  <c r="U514" i="1"/>
  <c r="S548" i="1"/>
  <c r="S582" i="1" s="1"/>
  <c r="U526" i="1"/>
  <c r="S560" i="1"/>
  <c r="S594" i="1" s="1"/>
  <c r="U524" i="1"/>
  <c r="S558" i="1"/>
  <c r="S592" i="1" s="1"/>
  <c r="U530" i="1"/>
  <c r="S564" i="1"/>
  <c r="S598" i="1" s="1"/>
  <c r="U528" i="1"/>
  <c r="S562" i="1"/>
  <c r="S596" i="1" s="1"/>
  <c r="U538" i="1"/>
  <c r="S572" i="1"/>
  <c r="S606" i="1" s="1"/>
  <c r="U606" i="1" s="1"/>
  <c r="U522" i="1"/>
  <c r="S556" i="1"/>
  <c r="S590" i="1" s="1"/>
  <c r="U537" i="1"/>
  <c r="S571" i="1"/>
  <c r="S605" i="1" s="1"/>
  <c r="U605" i="1" s="1"/>
  <c r="U515" i="1"/>
  <c r="S549" i="1"/>
  <c r="S583" i="1" s="1"/>
  <c r="S230" i="1"/>
  <c r="U229" i="1"/>
  <c r="S226" i="1"/>
  <c r="U225" i="1"/>
  <c r="J3" i="4"/>
  <c r="S516" i="1"/>
  <c r="S506" i="1"/>
  <c r="S540" i="1" s="1"/>
  <c r="S250" i="1"/>
  <c r="U250" i="1" s="1"/>
  <c r="S486" i="1"/>
  <c r="S520" i="1" s="1"/>
  <c r="U589" i="1" l="1"/>
  <c r="S623" i="1"/>
  <c r="U623" i="1" s="1"/>
  <c r="U601" i="1"/>
  <c r="S635" i="1"/>
  <c r="U635" i="1" s="1"/>
  <c r="U594" i="1"/>
  <c r="S628" i="1"/>
  <c r="U628" i="1" s="1"/>
  <c r="U583" i="1"/>
  <c r="S617" i="1"/>
  <c r="U617" i="1" s="1"/>
  <c r="U591" i="1"/>
  <c r="S625" i="1"/>
  <c r="U625" i="1" s="1"/>
  <c r="U597" i="1"/>
  <c r="S631" i="1"/>
  <c r="U631" i="1" s="1"/>
  <c r="U593" i="1"/>
  <c r="S627" i="1"/>
  <c r="U627" i="1" s="1"/>
  <c r="U592" i="1"/>
  <c r="S626" i="1"/>
  <c r="U626" i="1" s="1"/>
  <c r="U600" i="1"/>
  <c r="S634" i="1"/>
  <c r="U634" i="1" s="1"/>
  <c r="U582" i="1"/>
  <c r="S616" i="1"/>
  <c r="U616" i="1" s="1"/>
  <c r="U590" i="1"/>
  <c r="S624" i="1"/>
  <c r="U624" i="1" s="1"/>
  <c r="U596" i="1"/>
  <c r="S630" i="1"/>
  <c r="U630" i="1" s="1"/>
  <c r="U598" i="1"/>
  <c r="S632" i="1"/>
  <c r="U632" i="1" s="1"/>
  <c r="U599" i="1"/>
  <c r="S633" i="1"/>
  <c r="U633" i="1" s="1"/>
  <c r="U577" i="1"/>
  <c r="S611" i="1"/>
  <c r="U611" i="1" s="1"/>
  <c r="U549" i="1"/>
  <c r="U571" i="1"/>
  <c r="U556" i="1"/>
  <c r="U572" i="1"/>
  <c r="U562" i="1"/>
  <c r="U564" i="1"/>
  <c r="U558" i="1"/>
  <c r="U560" i="1"/>
  <c r="U548" i="1"/>
  <c r="U555" i="1"/>
  <c r="U563" i="1"/>
  <c r="U568" i="1"/>
  <c r="U559" i="1"/>
  <c r="U565" i="1"/>
  <c r="U566" i="1"/>
  <c r="U557" i="1"/>
  <c r="U567" i="1"/>
  <c r="U570" i="1"/>
  <c r="U540" i="1"/>
  <c r="S574" i="1"/>
  <c r="U574" i="1" s="1"/>
  <c r="U516" i="1"/>
  <c r="S550" i="1"/>
  <c r="S584" i="1" s="1"/>
  <c r="U520" i="1"/>
  <c r="S554" i="1"/>
  <c r="S588" i="1" s="1"/>
  <c r="S227" i="1"/>
  <c r="U226" i="1"/>
  <c r="S231" i="1"/>
  <c r="U230" i="1"/>
  <c r="S251" i="1"/>
  <c r="U251" i="1" s="1"/>
  <c r="U588" i="1" l="1"/>
  <c r="S622" i="1"/>
  <c r="U622" i="1" s="1"/>
  <c r="U584" i="1"/>
  <c r="S618" i="1"/>
  <c r="U618" i="1" s="1"/>
  <c r="U554" i="1"/>
  <c r="U550" i="1"/>
  <c r="S371" i="1"/>
  <c r="U227" i="1"/>
  <c r="S232" i="1"/>
  <c r="U231" i="1"/>
  <c r="S252" i="1"/>
  <c r="U252" i="1" s="1"/>
  <c r="S372" i="1" l="1"/>
  <c r="U232" i="1"/>
  <c r="S447" i="1"/>
  <c r="U371" i="1"/>
  <c r="S253" i="1"/>
  <c r="U253" i="1" s="1"/>
  <c r="S512" i="1" l="1"/>
  <c r="S546" i="1" s="1"/>
  <c r="U447" i="1"/>
  <c r="S446" i="1"/>
  <c r="U372" i="1"/>
  <c r="S254" i="1"/>
  <c r="U254" i="1" s="1"/>
  <c r="U546" i="1" l="1"/>
  <c r="S580" i="1"/>
  <c r="S609" i="1" s="1"/>
  <c r="S511" i="1"/>
  <c r="S545" i="1" s="1"/>
  <c r="U446" i="1"/>
  <c r="S403" i="1"/>
  <c r="U403" i="1" s="1"/>
  <c r="S638" i="1" l="1"/>
  <c r="U638" i="1" s="1"/>
  <c r="U609" i="1"/>
  <c r="S614" i="1"/>
  <c r="U614" i="1" s="1"/>
  <c r="U580" i="1"/>
  <c r="U545" i="1"/>
  <c r="S579" i="1"/>
  <c r="S462" i="1"/>
  <c r="U462" i="1" s="1"/>
  <c r="S608" i="1" l="1"/>
  <c r="S613" i="1"/>
  <c r="U613" i="1" s="1"/>
  <c r="U579" i="1"/>
  <c r="S501" i="1"/>
  <c r="S535" i="1" s="1"/>
  <c r="U608" i="1" l="1"/>
  <c r="S637" i="1"/>
  <c r="U637" i="1" s="1"/>
  <c r="U535" i="1"/>
  <c r="S569" i="1"/>
  <c r="S603" i="1" s="1"/>
  <c r="U603" i="1" s="1"/>
  <c r="U569" i="1" l="1"/>
</calcChain>
</file>

<file path=xl/comments1.xml><?xml version="1.0" encoding="utf-8"?>
<comments xmlns="http://schemas.openxmlformats.org/spreadsheetml/2006/main">
  <authors>
    <author>tc={C9B98FF1-216B-46C5-8CEA-B60ADD2C1952}</author>
    <author>tc={88BDD32D-450B-4CF8-AEEA-F28C2D67168C}</author>
    <author>tc={6DDA19FD-EFDE-4E16-8DB8-4B8AEF708474}</author>
  </authors>
  <commentList>
    <comment ref="C3" authorId="0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请确保和最新的2D 图纸一样，包括大小写. 字体请用Calibri， 10 号字体</t>
        </r>
      </text>
    </comment>
    <comment ref="V3" authorId="1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  </r>
      </text>
    </comment>
    <comment ref="Z3" authorId="2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<sst xmlns="http://schemas.openxmlformats.org/spreadsheetml/2006/main" count="11182" uniqueCount="491">
  <si>
    <t>TK</t>
  </si>
  <si>
    <t>Item</t>
  </si>
  <si>
    <t>Project</t>
  </si>
  <si>
    <t>Description Item</t>
  </si>
  <si>
    <t>Original Investment Quotation</t>
  </si>
  <si>
    <t>ECN cost</t>
  </si>
  <si>
    <t>Total capex</t>
  </si>
  <si>
    <t>Investment Currency</t>
  </si>
  <si>
    <t>Tooling cost paid</t>
  </si>
  <si>
    <t>Invenstment Blance Smoore</t>
  </si>
  <si>
    <t>TK DATA</t>
  </si>
  <si>
    <t>ePod2 POD</t>
  </si>
  <si>
    <t>RMB</t>
  </si>
  <si>
    <t>ePod2+ Device</t>
  </si>
  <si>
    <t xml:space="preserve">ePod2 Device </t>
  </si>
  <si>
    <t>ePod2
Wave1
Device - B Design</t>
  </si>
  <si>
    <t>ePod 3 pod</t>
  </si>
  <si>
    <t xml:space="preserve"> epod 3 pod Tooling, Included in Hestia Carryover</t>
  </si>
  <si>
    <t>Hestia 1.0</t>
  </si>
  <si>
    <t>Hestia 1.0 New Tooling</t>
  </si>
  <si>
    <t>Hestia  1.0</t>
  </si>
  <si>
    <t>ePod3 Pod tooling carry over</t>
  </si>
  <si>
    <t>VEGA</t>
  </si>
  <si>
    <t>VEGA tooling</t>
  </si>
  <si>
    <t>Modi 2.0</t>
  </si>
  <si>
    <t>Vuse Go 2.0 1K Pen Default</t>
  </si>
  <si>
    <t>Vuse Go 2.0 1K Pen Full</t>
  </si>
  <si>
    <t>Vuse Go 2.0  1K Box Default</t>
  </si>
  <si>
    <t>Vuse Go 2.0 1K Box Full</t>
  </si>
  <si>
    <t>Vuse Go 2.0 5K Box Full(Include Sensa)</t>
  </si>
  <si>
    <t>Hestia 1.1</t>
  </si>
  <si>
    <t xml:space="preserve">Hestia 1.1 tooling inital </t>
  </si>
  <si>
    <t>Artemis</t>
  </si>
  <si>
    <t>Product category</t>
  </si>
  <si>
    <t>RCS POD</t>
  </si>
  <si>
    <t>RCS DEVICE</t>
  </si>
  <si>
    <t>MODI</t>
  </si>
  <si>
    <t>MO</t>
  </si>
  <si>
    <t>　</t>
  </si>
  <si>
    <t>请确保和最新的2D 图纸一样，包括大小写. 字体请用Calibri， 10 号字体</t>
  </si>
  <si>
    <t>提交时间</t>
  </si>
  <si>
    <t>份额</t>
    <phoneticPr fontId="4" type="noConversion"/>
  </si>
  <si>
    <t>Product Category</t>
  </si>
  <si>
    <t>Part Name</t>
  </si>
  <si>
    <t>Part No.</t>
  </si>
  <si>
    <t xml:space="preserve">Supplier </t>
  </si>
  <si>
    <t>Commonality</t>
    <phoneticPr fontId="4" type="noConversion"/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</si>
  <si>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</si>
  <si>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</si>
  <si>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</si>
  <si>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</si>
  <si>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</si>
  <si>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</si>
  <si>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</si>
  <si>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</si>
  <si>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  <phoneticPr fontId="4" type="noConversion"/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</si>
  <si>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</si>
  <si>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</si>
  <si>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</si>
  <si>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</si>
  <si>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</si>
  <si>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</si>
  <si>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</si>
  <si>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</si>
  <si>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</si>
  <si>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</si>
  <si>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</si>
  <si>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</si>
  <si>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</si>
  <si>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</si>
  <si>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</si>
  <si>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Re3k</t>
  </si>
  <si>
    <t>ePod 2</t>
    <phoneticPr fontId="4" type="noConversion"/>
  </si>
  <si>
    <t>TF16-Cartridge Tube</t>
    <phoneticPr fontId="4" type="noConversion"/>
  </si>
  <si>
    <t>TK</t>
    <phoneticPr fontId="4" type="noConversion"/>
  </si>
  <si>
    <t>/</t>
    <phoneticPr fontId="4" type="noConversion"/>
  </si>
  <si>
    <t>Plastic</t>
  </si>
  <si>
    <t>PCTG TX1501</t>
    <phoneticPr fontId="4" type="noConversion"/>
  </si>
  <si>
    <t>Black</t>
  </si>
  <si>
    <t>Eastman</t>
    <phoneticPr fontId="4" type="noConversion"/>
  </si>
  <si>
    <t>ePod 2</t>
  </si>
  <si>
    <t>TF16-Cartomizer Holder Tap</t>
    <phoneticPr fontId="4" type="noConversion"/>
  </si>
  <si>
    <t>PC 2456</t>
    <phoneticPr fontId="4" type="noConversion"/>
  </si>
  <si>
    <t>Covestro</t>
    <phoneticPr fontId="4" type="noConversion"/>
  </si>
  <si>
    <t>TF16 Heating Holder</t>
    <phoneticPr fontId="4" type="noConversion"/>
  </si>
  <si>
    <t>TF16-Heater top cover</t>
    <phoneticPr fontId="4" type="noConversion"/>
  </si>
  <si>
    <t>Vega</t>
  </si>
  <si>
    <t>Mouth piece</t>
    <phoneticPr fontId="4" type="noConversion"/>
  </si>
  <si>
    <t>PCTG TX1501</t>
    <phoneticPr fontId="17" type="noConversion"/>
  </si>
  <si>
    <t>Top Plastic Bracket</t>
    <phoneticPr fontId="4" type="noConversion"/>
  </si>
  <si>
    <t>Bottom Plastic Bracket</t>
    <phoneticPr fontId="4" type="noConversion"/>
  </si>
  <si>
    <t>battery bracket-Cuvre</t>
    <phoneticPr fontId="4" type="noConversion"/>
  </si>
  <si>
    <t>PC PCR ER1000MA</t>
  </si>
  <si>
    <t>LG</t>
    <phoneticPr fontId="4" type="noConversion"/>
  </si>
  <si>
    <t>Bottom Cap</t>
    <phoneticPr fontId="4" type="noConversion"/>
  </si>
  <si>
    <t>Air Flow slider</t>
    <phoneticPr fontId="4" type="noConversion"/>
  </si>
  <si>
    <t>DP1500</t>
  </si>
  <si>
    <t>DP1500-Battery tube</t>
    <phoneticPr fontId="12" type="noConversion"/>
  </si>
  <si>
    <t>DP1500-Heater bottom</t>
    <phoneticPr fontId="12" type="noConversion"/>
  </si>
  <si>
    <t>DP1500-Mouthpiece</t>
    <phoneticPr fontId="12" type="noConversion"/>
  </si>
  <si>
    <t>Cartridge tank</t>
    <phoneticPr fontId="4" type="noConversion"/>
  </si>
  <si>
    <t>PP K4715</t>
    <phoneticPr fontId="4" type="noConversion"/>
  </si>
  <si>
    <r>
      <rPr>
        <sz val="10"/>
        <color rgb="FFFF0000"/>
        <rFont val="宋体"/>
        <family val="3"/>
        <charset val="134"/>
      </rPr>
      <t>台化</t>
    </r>
  </si>
  <si>
    <r>
      <rPr>
        <sz val="10"/>
        <color theme="1"/>
        <rFont val="宋体"/>
        <family val="3"/>
        <charset val="134"/>
      </rPr>
      <t>台化</t>
    </r>
    <phoneticPr fontId="4" type="noConversion"/>
  </si>
  <si>
    <t>Heater top cover</t>
    <phoneticPr fontId="4" type="noConversion"/>
  </si>
  <si>
    <t>Heater holder</t>
    <phoneticPr fontId="4" type="noConversion"/>
  </si>
  <si>
    <t>Box 800 Default 2.0</t>
  </si>
  <si>
    <t>Box 800 Full 2.0</t>
    <phoneticPr fontId="4" type="noConversion"/>
  </si>
  <si>
    <t>Heating holder</t>
    <phoneticPr fontId="4" type="noConversion"/>
  </si>
  <si>
    <t>Slider</t>
    <phoneticPr fontId="4" type="noConversion"/>
  </si>
  <si>
    <t>Pen 800 Default 2.0</t>
    <phoneticPr fontId="4" type="noConversion"/>
  </si>
  <si>
    <t>Bottom cover</t>
    <phoneticPr fontId="4" type="noConversion"/>
  </si>
  <si>
    <t>Plastic plug</t>
    <phoneticPr fontId="4" type="noConversion"/>
  </si>
  <si>
    <t>Box 800 Full 2.0</t>
  </si>
  <si>
    <t>Inner bracket</t>
    <phoneticPr fontId="4" type="noConversion"/>
  </si>
  <si>
    <t>GP1000ML</t>
    <phoneticPr fontId="4" type="noConversion"/>
  </si>
  <si>
    <t>PCB BRACKET</t>
    <phoneticPr fontId="4" type="noConversion"/>
  </si>
  <si>
    <t>ABS 757</t>
    <phoneticPr fontId="4" type="noConversion"/>
  </si>
  <si>
    <t>Chemei</t>
    <phoneticPr fontId="4" type="noConversion"/>
  </si>
  <si>
    <t>Battery top cover</t>
    <phoneticPr fontId="4" type="noConversion"/>
  </si>
  <si>
    <t>Box 5000 Full 2.0/8K BOX FULL</t>
    <phoneticPr fontId="4" type="noConversion"/>
  </si>
  <si>
    <t>Battery bottom cover</t>
    <phoneticPr fontId="4" type="noConversion"/>
  </si>
  <si>
    <t>Button</t>
    <phoneticPr fontId="4" type="noConversion"/>
  </si>
  <si>
    <t>Pen 800 Full 2.0/Box 5000 Full 2.0/8K BOX FULL</t>
    <phoneticPr fontId="4" type="noConversion"/>
  </si>
  <si>
    <t>Pen 800 Default 2.0</t>
  </si>
  <si>
    <t>Pen 800 Full 2.0</t>
    <phoneticPr fontId="4" type="noConversion"/>
  </si>
  <si>
    <t>bottom cover</t>
    <phoneticPr fontId="4" type="noConversion"/>
  </si>
  <si>
    <t>Pen 800 Full 2.0</t>
  </si>
  <si>
    <t>/</t>
  </si>
  <si>
    <t>Battery module top cover</t>
    <phoneticPr fontId="4" type="noConversion"/>
  </si>
  <si>
    <t>Box 5000 Full 2.0</t>
  </si>
  <si>
    <t>Box 8000 Full 2.0</t>
    <phoneticPr fontId="4" type="noConversion"/>
  </si>
  <si>
    <t>PCBA Bracket</t>
    <phoneticPr fontId="4" type="noConversion"/>
  </si>
  <si>
    <t xml:space="preserve"> Plastic plug</t>
    <phoneticPr fontId="4" type="noConversion"/>
  </si>
  <si>
    <t>8k box full</t>
    <phoneticPr fontId="4" type="noConversion"/>
  </si>
  <si>
    <t>ePod 3</t>
  </si>
  <si>
    <t>ePod2 device(Wave1)</t>
  </si>
  <si>
    <t>Wave1-B-battery holder</t>
    <phoneticPr fontId="4" type="noConversion"/>
  </si>
  <si>
    <t>PC2456</t>
    <phoneticPr fontId="4" type="noConversion"/>
  </si>
  <si>
    <t>Wave 2-B</t>
    <phoneticPr fontId="4" type="noConversion"/>
  </si>
  <si>
    <t>EOL</t>
    <phoneticPr fontId="4" type="noConversion"/>
  </si>
  <si>
    <t>Wave1-B-PCB holder</t>
    <phoneticPr fontId="4" type="noConversion"/>
  </si>
  <si>
    <t>Chimei</t>
    <phoneticPr fontId="4" type="noConversion"/>
  </si>
  <si>
    <t>ePw2(TF1601C)- battery holder</t>
    <phoneticPr fontId="4" type="noConversion"/>
  </si>
  <si>
    <t>ePw2(TF1601C)-Led holder</t>
    <phoneticPr fontId="4" type="noConversion"/>
  </si>
  <si>
    <t>ePw2(TF1601C)- PCB holder</t>
    <phoneticPr fontId="4" type="noConversion"/>
  </si>
  <si>
    <t>ePw2(TF1601C)- Button</t>
    <phoneticPr fontId="4" type="noConversion"/>
  </si>
  <si>
    <t>Cartridge tank</t>
  </si>
  <si>
    <t xml:space="preserve">                              -  </t>
  </si>
  <si>
    <t xml:space="preserve"> ¥                        0.7006</t>
  </si>
  <si>
    <t>PCTG TX1501</t>
  </si>
  <si>
    <t xml:space="preserve"> Eastman </t>
  </si>
  <si>
    <t>Inner bracket</t>
  </si>
  <si>
    <t>Box 8000 Full 2.0</t>
  </si>
  <si>
    <t xml:space="preserve">                                 -  </t>
  </si>
  <si>
    <t xml:space="preserve"> ¥                        0.1297</t>
  </si>
  <si>
    <t>GP1000ML</t>
  </si>
  <si>
    <t xml:space="preserve"> LG </t>
  </si>
  <si>
    <t>Bottom cover</t>
  </si>
  <si>
    <t xml:space="preserve"> ¥                        0.1135</t>
  </si>
  <si>
    <t>Heating holder</t>
  </si>
  <si>
    <t xml:space="preserve"> ¥                        0.1056</t>
  </si>
  <si>
    <t>Heater top cover</t>
  </si>
  <si>
    <t xml:space="preserve"> ¥                        0.0953</t>
  </si>
  <si>
    <t xml:space="preserve">                            -  </t>
  </si>
  <si>
    <t xml:space="preserve"> Plastic plug</t>
  </si>
  <si>
    <t xml:space="preserve"> ¥                        0.0523</t>
  </si>
  <si>
    <t>PP K4715</t>
  </si>
  <si>
    <t>台化</t>
  </si>
  <si>
    <t>PCBA Bracket</t>
  </si>
  <si>
    <t xml:space="preserve"> ¥                        0.0341</t>
  </si>
  <si>
    <t>ABS 757</t>
  </si>
  <si>
    <t xml:space="preserve"> Chemei </t>
  </si>
  <si>
    <t>Battery module top cover</t>
  </si>
  <si>
    <t xml:space="preserve"> ¥                        0.0440</t>
  </si>
  <si>
    <t xml:space="preserve"> ¥                        0.0960</t>
  </si>
  <si>
    <t xml:space="preserve"> ¥                        0.0480</t>
  </si>
  <si>
    <t xml:space="preserve"> ¥                        0.2810</t>
  </si>
  <si>
    <t xml:space="preserve"> ¥                        0.0470</t>
  </si>
  <si>
    <t xml:space="preserve"> ¥                        0.0600</t>
  </si>
  <si>
    <t>bottom cover</t>
  </si>
  <si>
    <t xml:space="preserve"> ¥                        0.1200</t>
  </si>
  <si>
    <t>Battery top cover</t>
  </si>
  <si>
    <t>Box 5000 Full 2.0/8K BOX FULL</t>
  </si>
  <si>
    <t xml:space="preserve"> ¥                        0.0653</t>
  </si>
  <si>
    <t>PCB BRACKET</t>
  </si>
  <si>
    <t xml:space="preserve"> ¥                        0.0393</t>
  </si>
  <si>
    <t>Battery bottom cover</t>
  </si>
  <si>
    <t xml:space="preserve"> ¥                        0.0667</t>
  </si>
  <si>
    <t xml:space="preserve"> ¥                        0.1128</t>
  </si>
  <si>
    <t>Button</t>
  </si>
  <si>
    <t>Pen 800 Full 2.0/Box 5000 Full 2.0/8K BOX FULL</t>
  </si>
  <si>
    <t xml:space="preserve"> ¥                        0.0615</t>
  </si>
  <si>
    <t xml:space="preserve"> ¥                        0.3100</t>
  </si>
  <si>
    <t xml:space="preserve"> ¥                        0.1280</t>
  </si>
  <si>
    <t>Slider</t>
  </si>
  <si>
    <t xml:space="preserve"> ¥                        0.0320</t>
  </si>
  <si>
    <t xml:space="preserve"> ¥                        0.0540</t>
  </si>
  <si>
    <t xml:space="preserve"> ¥                        0.0800</t>
  </si>
  <si>
    <t>Plastic plug</t>
  </si>
  <si>
    <t xml:space="preserve"> ¥                        0.0370</t>
  </si>
  <si>
    <t>Mouth piece</t>
  </si>
  <si>
    <t xml:space="preserve">                           -  </t>
  </si>
  <si>
    <t xml:space="preserve"> ¥                        0.2862</t>
  </si>
  <si>
    <t xml:space="preserve"> PCTG TX1501 </t>
  </si>
  <si>
    <t>Top Plastic Bracket</t>
  </si>
  <si>
    <t xml:space="preserve"> ¥                        0.0459</t>
  </si>
  <si>
    <t>Bottom Plastic Bracket</t>
  </si>
  <si>
    <t xml:space="preserve"> ¥                        0.0681</t>
  </si>
  <si>
    <t>battery bracket-Cuvre</t>
  </si>
  <si>
    <t xml:space="preserve"> ¥                        0.0710</t>
  </si>
  <si>
    <t>Bottom Cap</t>
  </si>
  <si>
    <t>Air Flow slider</t>
  </si>
  <si>
    <t xml:space="preserve"> ¥                        0.0412</t>
  </si>
  <si>
    <t xml:space="preserve"> ¥                        0.1802</t>
  </si>
  <si>
    <t>Heater holder</t>
  </si>
  <si>
    <t xml:space="preserve"> ¥                        0.0503</t>
  </si>
  <si>
    <t xml:space="preserve"> ¥                        0.0627</t>
  </si>
  <si>
    <t xml:space="preserve">FX RATE GBP/RMB </t>
  </si>
  <si>
    <t>Cut off Jun.30, 2024</t>
  </si>
  <si>
    <t>a</t>
  </si>
  <si>
    <t>b</t>
  </si>
  <si>
    <t>c</t>
  </si>
  <si>
    <t>d=b*c</t>
  </si>
  <si>
    <t>e=d*a/
1000000</t>
  </si>
  <si>
    <t>f</t>
  </si>
  <si>
    <t>g=f/d</t>
  </si>
  <si>
    <t>h=a*f</t>
  </si>
  <si>
    <t>i=h/8.81203/
1000000</t>
  </si>
  <si>
    <t>j</t>
  </si>
  <si>
    <t>k=j/e*i</t>
  </si>
  <si>
    <t>l=i-k</t>
  </si>
  <si>
    <t>MODEL NO.</t>
  </si>
  <si>
    <t>Part Category</t>
  </si>
  <si>
    <t>Bom Unit Price</t>
  </si>
  <si>
    <t>Mold Start date</t>
  </si>
  <si>
    <t>Mold QTY</t>
  </si>
  <si>
    <t>Tool Life</t>
  </si>
  <si>
    <t>No of cavity/Tool</t>
  </si>
  <si>
    <t>Lifetime Volume/Tool</t>
  </si>
  <si>
    <t>Total MCV 
(mn)</t>
  </si>
  <si>
    <t>Monthly 
capacity/Tool</t>
  </si>
  <si>
    <t>monthly total capacity</t>
  </si>
  <si>
    <t>Tooling unit cost
(RMB)</t>
  </si>
  <si>
    <t>Amortization/part (RMB)</t>
  </si>
  <si>
    <t>Tooling total cost
(RMB)</t>
  </si>
  <si>
    <t>Tooling total cost
(GBP)
(mn)</t>
  </si>
  <si>
    <t>Total Volume
(mn)</t>
  </si>
  <si>
    <t>Capex liablity paid
(GBP)
(mn)</t>
  </si>
  <si>
    <t>Capex liablity remaining
(GBP)
(mn)</t>
  </si>
  <si>
    <t>Cartomizer tube</t>
  </si>
  <si>
    <t>Feb.2021</t>
  </si>
  <si>
    <t>Cartomizer holder tap</t>
  </si>
  <si>
    <t>Plastic Part Sub Total</t>
  </si>
  <si>
    <t>Tooling Toal</t>
  </si>
  <si>
    <t>ePod2+
Wave2 Device</t>
  </si>
  <si>
    <t>battery holder</t>
  </si>
  <si>
    <t>Led holder</t>
  </si>
  <si>
    <t>PCB holder</t>
  </si>
  <si>
    <t>Battery Holder - Wave 1-B design</t>
  </si>
  <si>
    <t>PCB Holder - Wave 1-B design</t>
  </si>
  <si>
    <t>Supplier</t>
  </si>
  <si>
    <t>1st Round Tooling total cost</t>
  </si>
  <si>
    <t>2nd Round Tooling total cost</t>
  </si>
  <si>
    <t>Hestia1.0 Amortization/part (RMB)</t>
  </si>
  <si>
    <t>ePod3 remaining liability (Total)</t>
  </si>
  <si>
    <t xml:space="preserve">Epod 3 remaining Capex liablity Amortization </t>
  </si>
  <si>
    <t>Total Amortization/part</t>
  </si>
  <si>
    <t>%</t>
  </si>
  <si>
    <t>Projection Volume
(Oct. 2024 to Dec. 2024)</t>
  </si>
  <si>
    <t>Each Projection Volume
(Based on propotion at Colume AA, fiuture</t>
  </si>
  <si>
    <t>New Balance</t>
  </si>
  <si>
    <t>Projection Volume
(Oct. 2024 to Dec. 2025)</t>
  </si>
  <si>
    <t>Each Projection Volume
(Based on propotion at Colume W, fiuture</t>
  </si>
  <si>
    <t>Hestia1.0</t>
  </si>
  <si>
    <t>Catridge tank</t>
  </si>
  <si>
    <t>SHIPMENT</t>
  </si>
  <si>
    <t>PART TOOLING</t>
  </si>
  <si>
    <t>TO</t>
  </si>
  <si>
    <t>JAN</t>
  </si>
  <si>
    <t>FEB</t>
  </si>
  <si>
    <t>MAR</t>
  </si>
  <si>
    <t>APR</t>
  </si>
  <si>
    <t>MAY</t>
  </si>
  <si>
    <t>JUN</t>
  </si>
  <si>
    <t>JUL</t>
  </si>
  <si>
    <t>TOOLING COST PER UNIT</t>
  </si>
  <si>
    <t xml:space="preserve">Epod 3 remaining Capex liability Amortization </t>
  </si>
  <si>
    <t>￥0.0238</t>
  </si>
  <si>
    <t>￥0.0118</t>
  </si>
  <si>
    <t xml:space="preserve">￥0.0749 </t>
  </si>
  <si>
    <t>￥0.0163</t>
  </si>
  <si>
    <t>￥0.0083</t>
  </si>
  <si>
    <t xml:space="preserve">￥0.0869 </t>
  </si>
  <si>
    <t>￥0.0159</t>
  </si>
  <si>
    <t>Tool type</t>
  </si>
  <si>
    <t>Soft tool</t>
  </si>
  <si>
    <t>Soft tool EC</t>
  </si>
  <si>
    <t>Hard tool</t>
  </si>
  <si>
    <t>Hard tool EC</t>
  </si>
  <si>
    <t>HP</t>
  </si>
  <si>
    <t>For hard tooling</t>
    <phoneticPr fontId="4" type="noConversion"/>
  </si>
  <si>
    <t>Tooling design life</t>
    <phoneticPr fontId="4" type="noConversion"/>
  </si>
  <si>
    <t>Stage</t>
  </si>
  <si>
    <t>Cavity</t>
  </si>
  <si>
    <t>Tooling Capacity Per Month</t>
  </si>
  <si>
    <t>Total Capacity Per Month</t>
  </si>
  <si>
    <t>Tooling life</t>
  </si>
  <si>
    <t>Kick off date</t>
    <phoneticPr fontId="4" type="noConversion"/>
  </si>
  <si>
    <t>Tool Unit cost</t>
  </si>
  <si>
    <t>Q'ty</t>
  </si>
  <si>
    <t>Total Tool cost</t>
  </si>
  <si>
    <t>Requested by Whom</t>
  </si>
  <si>
    <t>Approval Status</t>
  </si>
  <si>
    <t>Payment Status</t>
  </si>
  <si>
    <t>POC</t>
  </si>
  <si>
    <t>Chris</t>
  </si>
  <si>
    <t>Approved</t>
  </si>
  <si>
    <t>No</t>
  </si>
  <si>
    <t>1K BOX SEMI</t>
  </si>
  <si>
    <t>Heating holder-semi</t>
    <phoneticPr fontId="4" type="noConversion"/>
  </si>
  <si>
    <t>Heater top cover-semi</t>
    <phoneticPr fontId="4" type="noConversion"/>
  </si>
  <si>
    <t>POA</t>
  </si>
  <si>
    <t>PCB_BRACKET</t>
    <phoneticPr fontId="4" type="noConversion"/>
  </si>
  <si>
    <t>Box 5000 Full 2.0</t>
    <phoneticPr fontId="4" type="noConversion"/>
  </si>
  <si>
    <t>DP</t>
  </si>
  <si>
    <t>KUMA MAX</t>
  </si>
  <si>
    <t>Hesita 5K Mid Cover-T88</t>
    <phoneticPr fontId="4" type="noConversion"/>
  </si>
  <si>
    <t>Hesita 5K Holder-Double_Cell</t>
    <phoneticPr fontId="4" type="noConversion"/>
  </si>
  <si>
    <t>Hesita 5K Top_Cover-T88</t>
    <phoneticPr fontId="4" type="noConversion"/>
  </si>
  <si>
    <t>电话通知陈迪冕</t>
  </si>
  <si>
    <t>HESTIA 1.1 (non smart)</t>
  </si>
  <si>
    <t>Heater cover</t>
    <phoneticPr fontId="4" type="noConversion"/>
  </si>
  <si>
    <t>Thimble holder</t>
    <phoneticPr fontId="4" type="noConversion"/>
  </si>
  <si>
    <t>MIMOSA 1.0</t>
  </si>
  <si>
    <r>
      <t>MImosa-</t>
    </r>
    <r>
      <rPr>
        <sz val="10"/>
        <color rgb="FF333333"/>
        <rFont val="微软雅黑"/>
        <family val="2"/>
        <charset val="134"/>
      </rPr>
      <t>电池管前壳</t>
    </r>
    <phoneticPr fontId="4" type="noConversion"/>
  </si>
  <si>
    <t>HESTIA XL US (Smart) 2ml / 2.4ml</t>
  </si>
  <si>
    <t>Cartridge tank-2.0ml</t>
    <phoneticPr fontId="4" type="noConversion"/>
  </si>
  <si>
    <t>HESTIA-US 2.4ml-Cartridge tank</t>
    <phoneticPr fontId="4" type="noConversion"/>
  </si>
  <si>
    <t>HESTIA 1.1 (smart)</t>
  </si>
  <si>
    <t>Clyde RCS DEVICE</t>
  </si>
  <si>
    <t>Toggle switch</t>
    <phoneticPr fontId="4" type="noConversion"/>
  </si>
  <si>
    <t>Top cover</t>
    <phoneticPr fontId="4" type="noConversion"/>
  </si>
  <si>
    <t>MlC holder</t>
    <phoneticPr fontId="4" type="noConversion"/>
  </si>
  <si>
    <t>23000046-02-0202004</t>
    <phoneticPr fontId="4" type="noConversion"/>
  </si>
  <si>
    <t>Light guidance</t>
    <phoneticPr fontId="4" type="noConversion"/>
  </si>
  <si>
    <t>Box 3000 Full 2.0</t>
  </si>
  <si>
    <t>Kevin</t>
  </si>
  <si>
    <t>Srikanth</t>
    <phoneticPr fontId="4" type="noConversion"/>
  </si>
  <si>
    <t>Chris</t>
    <phoneticPr fontId="4" type="noConversion"/>
  </si>
  <si>
    <t>Candy</t>
    <phoneticPr fontId="4" type="noConversion"/>
  </si>
  <si>
    <t>Cartridge tank-semi</t>
    <phoneticPr fontId="4" type="noConversion"/>
  </si>
  <si>
    <t>Bottom cover-semi</t>
    <phoneticPr fontId="4" type="noConversion"/>
  </si>
  <si>
    <t>Front cover</t>
    <phoneticPr fontId="4" type="noConversion"/>
  </si>
  <si>
    <t>Mid Frame Cover</t>
    <phoneticPr fontId="4" type="noConversion"/>
  </si>
  <si>
    <t>Middle frame</t>
    <phoneticPr fontId="4" type="noConversion"/>
  </si>
  <si>
    <t>Back cover</t>
    <phoneticPr fontId="4" type="noConversion"/>
  </si>
  <si>
    <t>Battery - Tube</t>
    <phoneticPr fontId="4" type="noConversion"/>
  </si>
  <si>
    <t>Kevin</t>
    <phoneticPr fontId="4" type="noConversion"/>
  </si>
  <si>
    <t>Artemis 2P</t>
  </si>
  <si>
    <t>SLIDE_COVER</t>
    <phoneticPr fontId="4" type="noConversion"/>
  </si>
  <si>
    <t>BOTTOM_COVER_CHARGER</t>
    <phoneticPr fontId="4" type="noConversion"/>
  </si>
  <si>
    <t>MAIN_CHASISS_CHARGER</t>
    <phoneticPr fontId="4" type="noConversion"/>
  </si>
  <si>
    <t>HEATING_CHAMBER</t>
    <phoneticPr fontId="4" type="noConversion"/>
  </si>
  <si>
    <t>8+8</t>
    <phoneticPr fontId="4" type="noConversion"/>
  </si>
  <si>
    <t>BUTTON</t>
    <phoneticPr fontId="4" type="noConversion"/>
  </si>
  <si>
    <t>MAGNET_COVER</t>
    <phoneticPr fontId="4" type="noConversion"/>
  </si>
  <si>
    <t>MAIN_CHASISS_PEN</t>
    <phoneticPr fontId="4" type="noConversion"/>
  </si>
  <si>
    <t>BOTTOM_COVER</t>
    <phoneticPr fontId="4" type="noConversion"/>
  </si>
  <si>
    <t>LIGHT_SHIELD_BRACKET</t>
    <phoneticPr fontId="4" type="noConversion"/>
  </si>
  <si>
    <t>STICK_RETAINER</t>
    <phoneticPr fontId="4" type="noConversion"/>
  </si>
  <si>
    <t>EXTRACTOR</t>
    <phoneticPr fontId="4" type="noConversion"/>
  </si>
  <si>
    <t>Artemis 1.1 Pro</t>
    <phoneticPr fontId="4" type="noConversion"/>
  </si>
  <si>
    <t>Lens</t>
    <phoneticPr fontId="4" type="noConversion"/>
  </si>
  <si>
    <t>Heating Chasis</t>
    <phoneticPr fontId="4" type="noConversion"/>
  </si>
  <si>
    <t>Main body cover substrate</t>
    <phoneticPr fontId="4" type="noConversion"/>
  </si>
  <si>
    <t>Main body cover overmold</t>
    <phoneticPr fontId="4" type="noConversion"/>
  </si>
  <si>
    <t xml:space="preserve">Slider </t>
    <phoneticPr fontId="4" type="noConversion"/>
  </si>
  <si>
    <t>Slider support</t>
    <phoneticPr fontId="4" type="noConversion"/>
  </si>
  <si>
    <t>Bottom cover substrate</t>
    <phoneticPr fontId="4" type="noConversion"/>
  </si>
  <si>
    <t>Bottom cover overmold</t>
    <phoneticPr fontId="4" type="noConversion"/>
  </si>
  <si>
    <t>BTB Bracket</t>
    <phoneticPr fontId="4" type="noConversion"/>
  </si>
  <si>
    <t>main body cover</t>
    <phoneticPr fontId="4" type="noConversion"/>
  </si>
  <si>
    <t>12o cover</t>
  </si>
  <si>
    <t>slider support</t>
    <phoneticPr fontId="4" type="noConversion"/>
  </si>
  <si>
    <t>Bottom cover inner</t>
    <phoneticPr fontId="4" type="noConversion"/>
  </si>
  <si>
    <t>heating chassis</t>
    <phoneticPr fontId="4" type="noConversion"/>
  </si>
  <si>
    <t>Hestia1.0</t>
    <phoneticPr fontId="4" type="noConversion"/>
  </si>
  <si>
    <t>MD2.0 3&amp;5&amp;8K new ECN</t>
    <phoneticPr fontId="4" type="noConversion"/>
  </si>
  <si>
    <t>2+2</t>
    <phoneticPr fontId="4" type="noConversion"/>
  </si>
  <si>
    <t xml:space="preserve">Alto Pod </t>
  </si>
  <si>
    <t>LED Holder</t>
  </si>
  <si>
    <t>Sum of Total Tool cost - Tool type: Hard tool 的详细信息</t>
  </si>
  <si>
    <t>Kick off date</t>
  </si>
  <si>
    <t>MAGNET_COVER</t>
  </si>
  <si>
    <t>PCB_BRACKET</t>
  </si>
  <si>
    <t>STICK_RETAINER</t>
  </si>
  <si>
    <t>MAIN_CHASISS_CHARGER</t>
  </si>
  <si>
    <t>BUTTON</t>
  </si>
  <si>
    <t>8+8</t>
  </si>
  <si>
    <t>LIGHT_SHIELD_BRACKET</t>
  </si>
  <si>
    <t>SLIDE_COVER</t>
  </si>
  <si>
    <t>BOTTOM_COVER</t>
  </si>
  <si>
    <t>DP1500-Heater bottom</t>
  </si>
  <si>
    <t>Srikanth</t>
  </si>
  <si>
    <t>BOTTOM_COVER_CHARGER</t>
  </si>
  <si>
    <t>EXTRACTOR</t>
  </si>
  <si>
    <t>DP1500-Mouthpiece</t>
  </si>
  <si>
    <t>MAIN_CHASISS_PEN</t>
  </si>
  <si>
    <t>HESTIA 1.1 (s3t)</t>
  </si>
  <si>
    <t>Candy</t>
  </si>
  <si>
    <t>HEATING_CHAMBER</t>
  </si>
  <si>
    <t>DP1500-Battery tube</t>
  </si>
  <si>
    <t>Column Labels</t>
  </si>
  <si>
    <t>Grand Total</t>
  </si>
  <si>
    <t>Sum of Total Tool cost</t>
  </si>
  <si>
    <t>20241115 Version</t>
  </si>
  <si>
    <t>20241104 Version</t>
  </si>
  <si>
    <t>Tooling type</t>
  </si>
  <si>
    <t>Remark</t>
  </si>
  <si>
    <t>Nov.12.2024</t>
  </si>
  <si>
    <t>50000 Shot</t>
    <phoneticPr fontId="4" type="noConversion"/>
  </si>
  <si>
    <t>1000000 Shot</t>
    <phoneticPr fontId="4" type="noConversion"/>
  </si>
  <si>
    <t>SEP</t>
  </si>
  <si>
    <t>AUG</t>
  </si>
  <si>
    <t>Jan</t>
    <phoneticPr fontId="4" type="noConversion"/>
  </si>
  <si>
    <t xml:space="preserve">Feb </t>
    <phoneticPr fontId="4" type="noConversion"/>
  </si>
  <si>
    <t>Nov</t>
    <phoneticPr fontId="4" type="noConversion"/>
  </si>
  <si>
    <t>Dec</t>
    <phoneticPr fontId="4" type="noConversion"/>
  </si>
  <si>
    <t>Oct</t>
    <phoneticPr fontId="4" type="noConversion"/>
  </si>
  <si>
    <t>Sep</t>
    <phoneticPr fontId="4" type="noConversion"/>
  </si>
  <si>
    <t>Apr</t>
    <phoneticPr fontId="4" type="noConversion"/>
  </si>
  <si>
    <t>Requested by Who</t>
  </si>
  <si>
    <t xml:space="preserve">Box 8000 1.0 </t>
  </si>
  <si>
    <t>Yes</t>
  </si>
  <si>
    <t>POP</t>
  </si>
  <si>
    <t>Painting</t>
  </si>
  <si>
    <t>Metal</t>
  </si>
  <si>
    <t>Not Approved</t>
  </si>
  <si>
    <t>Anodizing</t>
  </si>
  <si>
    <t>Silicone</t>
  </si>
  <si>
    <t>Printing</t>
  </si>
  <si>
    <t>Charlie</t>
  </si>
  <si>
    <t>Die-cut</t>
  </si>
  <si>
    <t>Others</t>
  </si>
  <si>
    <t>Magnet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</si>
  <si>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</si>
  <si>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</si>
  <si>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</si>
  <si>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</si>
  <si>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</si>
  <si>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</si>
  <si>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</si>
  <si>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</si>
  <si>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</si>
  <si>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</si>
  <si>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</si>
  <si>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</si>
  <si>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BRUSH</t>
  </si>
  <si>
    <t>Artemis 1.1 CORE</t>
  </si>
  <si>
    <t>Artemis 1.1 PRO</t>
  </si>
  <si>
    <t>Clyde POD</t>
  </si>
  <si>
    <t>Bacchus</t>
  </si>
  <si>
    <t>Adonis 1P</t>
  </si>
  <si>
    <t>Adonis 2P</t>
  </si>
  <si>
    <t>1K BOX ESG</t>
  </si>
  <si>
    <t>HYPER BESPOKE</t>
  </si>
  <si>
    <t>X2</t>
  </si>
  <si>
    <t>X2 Air</t>
  </si>
  <si>
    <t>Modi Max</t>
  </si>
  <si>
    <t>Alto PUK</t>
  </si>
  <si>
    <t>Echo</t>
  </si>
  <si>
    <t>ePod 1</t>
  </si>
  <si>
    <t>ePod 2+</t>
  </si>
  <si>
    <t>ePod 3+</t>
  </si>
  <si>
    <t>ePod2 Catridges</t>
  </si>
  <si>
    <t>ePod2+ device</t>
  </si>
  <si>
    <t>ePod 3 Device</t>
  </si>
  <si>
    <t>ePod 3 descope</t>
  </si>
  <si>
    <t>ePod 3+ Device</t>
  </si>
  <si>
    <t>KUMA E-Box NZ</t>
  </si>
  <si>
    <t>KUMA E-Box ROW</t>
  </si>
  <si>
    <t>KUMA E-Pen 1.0 ROW</t>
  </si>
  <si>
    <t>US Aquila</t>
  </si>
  <si>
    <t>MIMOSA 1.0 US</t>
  </si>
  <si>
    <t>KUMA-E 2.0 Pen</t>
  </si>
  <si>
    <t>KUMA-E 2.0 BOX</t>
  </si>
  <si>
    <t>ePod4+ (Pre-POP Study)</t>
  </si>
  <si>
    <t>HESTIA MAX (smart)</t>
  </si>
  <si>
    <t>HESTIA MAX (non smart)</t>
  </si>
  <si>
    <t>MIMOSA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</si>
</sst>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8"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_-* #,##0.00_-;\-* #,##0.00_-;_-* &quot;-&quot;??_-;_-@_-"/>
    <numFmt numFmtId="179" formatCode="_ [$¥-804]* #,##0_ ;_ [$¥-804]* \-#,##0_ ;_ [$¥-804]* &quot;-&quot;??_ ;_ @_ "/>
    <numFmt numFmtId="180" formatCode="_ [$¥-804]* #,##0.0000_ ;_ [$¥-804]* \-#,##0.0000_ ;_ [$¥-804]* &quot;-&quot;??_ ;_ @_ "/>
    <numFmt numFmtId="181" formatCode="_-* #,##0_-;\-* #,##0_-;_-* &quot;-&quot;??_-;_-@_-"/>
    <numFmt numFmtId="182" formatCode="[$$-409]#,##0.0000000"/>
    <numFmt numFmtId="183" formatCode="0_);[Red]\(0\)"/>
    <numFmt numFmtId="184" formatCode="_ [$¥-804]* #,##0.00_ ;_ [$¥-804]* \-#,##0.00_ ;_ [$¥-804]* &quot;-&quot;??_ ;_ @_ "/>
    <numFmt numFmtId="185" formatCode="[$¥-804]#,##0.00"/>
    <numFmt numFmtId="186" formatCode="0.0000"/>
    <numFmt numFmtId="187" formatCode="#,##0_ "/>
    <numFmt numFmtId="188" formatCode="_-[$$-409]* #,##0_ ;_-[$$-409]* \-#,##0\ ;_-[$$-409]* &quot;-&quot;?_ ;_-@_ "/>
    <numFmt numFmtId="189" formatCode="[$-F400]h:mm:ss\ AM/PM"/>
    <numFmt numFmtId="190" formatCode="_-* #,##0.00\ _€_-;\-* #,##0.00\ _€_-;_-* &quot;-&quot;??\ _€_-;_-@_-"/>
    <numFmt numFmtId="191" formatCode="[$-409]mmmm\ d\,\ yyyy;@"/>
    <numFmt numFmtId="192" formatCode="0.0_ "/>
    <numFmt numFmtId="193" formatCode="&quot;￥&quot;#,##0.0000;&quot;￥&quot;\-#,##0.0000"/>
    <numFmt numFmtId="194" formatCode="[$-409]mmm\-yy;@"/>
    <numFmt numFmtId="195" formatCode="\¥#,##0_);[Red]\(\¥#,##0\)"/>
    <numFmt numFmtId="196" formatCode="[$¥-804]#,##0.0000"/>
    <numFmt numFmtId="197" formatCode="_-[$£-809]* #,##0.000_-;\-[$£-809]* #,##0.000_-;_-[$£-809]* &quot;-&quot;??_-;_-@_-"/>
    <numFmt numFmtId="198" formatCode="0.0"/>
    <numFmt numFmtId="199" formatCode="&quot;￥&quot;#,##0.00_);[Red]\(&quot;￥&quot;#,##0.00\)"/>
    <numFmt numFmtId="200" formatCode="\$#,##0.00;\-\$#,##0.00"/>
    <numFmt numFmtId="201" formatCode="_-[$£-809]* #,##0.0000_-;\-[$£-809]* #,##0.0000_-;_-[$£-809]* &quot;-&quot;??_-;_-@_-"/>
    <numFmt numFmtId="202" formatCode="&quot;￥&quot;#,##0.0000_);[Red]\(&quot;￥&quot;#,##0.0000\)"/>
    <numFmt numFmtId="203" formatCode="_ * #,##0_ ;_ * \-#,##0_ ;_ * &quot;-&quot;??_ ;_ @_ "/>
    <numFmt numFmtId="204" formatCode="&quot;￥&quot;#,##0;&quot;￥&quot;\-#,##0"/>
    <numFmt numFmtId="205" formatCode="[$£-809]#,##0.00;\-[$£-809]#,##0.00"/>
    <numFmt numFmtId="206" formatCode="0.00_);[Red]\(0.00\)"/>
    <numFmt numFmtId="207" formatCode="yyyy/m/d;@"/>
    <numFmt numFmtId="208" formatCode="0_);\(0\)"/>
    <numFmt numFmtId="209" formatCode="[$¥-804]#,##0"/>
    <numFmt numFmtId="210" formatCode="m/d/yyyy;@"/>
    <numFmt numFmtId="211" formatCode="_(* #,##0.0000_);_(* \(#,##0.0000\);_(* &quot;-&quot;????_);_(@_)"/>
    <numFmt numFmtId="212" formatCode="#,##0.0000"/>
  </numFmts>
  <fonts count="6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color rgb="FF000000"/>
      <name val="Calibri"/>
      <family val="2"/>
    </font>
    <font>
      <b/>
      <sz val="12"/>
      <color theme="1"/>
      <name val="Segoe UI"/>
      <family val="2"/>
    </font>
    <font>
      <b/>
      <sz val="12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6"/>
      <color theme="0"/>
      <name val="等线"/>
      <family val="2"/>
      <scheme val="minor"/>
    </font>
    <font>
      <sz val="10"/>
      <color rgb="FF333333"/>
      <name val="Calibri"/>
      <family val="2"/>
    </font>
    <font>
      <sz val="10"/>
      <color rgb="FF333333"/>
      <name val="微软雅黑"/>
      <family val="2"/>
      <charset val="134"/>
    </font>
    <font>
      <sz val="10"/>
      <color rgb="FF000000"/>
      <name val="Calibri"/>
      <family val="2"/>
    </font>
    <font>
      <sz val="10"/>
      <color rgb="FF464444"/>
      <name val="Calibri"/>
      <family val="2"/>
    </font>
    <font>
      <sz val="10"/>
      <color theme="1"/>
      <name val="Arial Narrow"/>
      <family val="2"/>
    </font>
    <font>
      <sz val="10"/>
      <color theme="1"/>
      <name val="宋体"/>
      <family val="3"/>
      <charset val="134"/>
    </font>
    <font>
      <sz val="11"/>
      <color indexed="8"/>
      <name val="Arial"/>
      <family val="2"/>
    </font>
    <font>
      <sz val="12"/>
      <name val="宋体"/>
      <family val="3"/>
      <charset val="134"/>
    </font>
    <font>
      <b/>
      <sz val="12"/>
      <name val="等线"/>
      <family val="2"/>
      <scheme val="minor"/>
    </font>
    <font>
      <sz val="12"/>
      <color theme="1"/>
      <name val="等线"/>
      <family val="2"/>
      <scheme val="minor"/>
    </font>
    <font>
      <i/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b/>
      <sz val="8"/>
      <color theme="1"/>
      <name val="等线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2"/>
      <name val="宋体"/>
      <family val="3"/>
      <charset val="134"/>
    </font>
    <font>
      <sz val="11"/>
      <name val="等线"/>
      <family val="2"/>
      <scheme val="minor"/>
    </font>
    <font>
      <b/>
      <sz val="10"/>
      <color rgb="FFFFFFFF"/>
      <name val="DengXian"/>
      <family val="1"/>
    </font>
    <font>
      <b/>
      <sz val="10"/>
      <color rgb="FF70AD47"/>
      <name val="DengXian"/>
      <charset val="134"/>
    </font>
    <font>
      <sz val="10"/>
      <color rgb="FF000000"/>
      <name val="DengXian"/>
      <charset val="134"/>
    </font>
    <font>
      <sz val="10"/>
      <color rgb="FFFFFF00"/>
      <name val="Calibri"/>
      <family val="2"/>
    </font>
    <font>
      <sz val="8"/>
      <color theme="1"/>
      <name val="等线"/>
      <family val="2"/>
      <scheme val="minor"/>
    </font>
    <font>
      <b/>
      <sz val="10"/>
      <color rgb="FFFF0000"/>
      <name val="等线"/>
      <family val="2"/>
      <scheme val="minor"/>
    </font>
    <font>
      <b/>
      <sz val="8"/>
      <color rgb="FFFF0000"/>
      <name val="等线"/>
      <family val="2"/>
      <scheme val="minor"/>
    </font>
    <font>
      <sz val="8"/>
      <color theme="0"/>
      <name val="等线"/>
      <family val="2"/>
      <scheme val="minor"/>
    </font>
    <font>
      <b/>
      <sz val="8"/>
      <color theme="0"/>
      <name val="等线"/>
      <family val="2"/>
      <scheme val="minor"/>
    </font>
    <font>
      <b/>
      <sz val="8"/>
      <color theme="9"/>
      <name val="等线"/>
      <family val="2"/>
      <scheme val="minor"/>
    </font>
    <font>
      <b/>
      <sz val="8"/>
      <name val="等线"/>
      <family val="2"/>
      <scheme val="minor"/>
    </font>
    <font>
      <sz val="12"/>
      <color rgb="FF92D050"/>
      <name val="等线"/>
      <family val="2"/>
      <scheme val="minor"/>
    </font>
    <font>
      <sz val="10"/>
      <color theme="1"/>
      <name val="等线"/>
      <family val="3"/>
      <charset val="134"/>
    </font>
    <font>
      <b/>
      <sz val="10"/>
      <color theme="0"/>
      <name val="等线"/>
      <family val="3"/>
      <charset val="134"/>
    </font>
    <font>
      <b/>
      <sz val="10"/>
      <color theme="9"/>
      <name val="等线"/>
      <family val="3"/>
      <charset val="134"/>
    </font>
    <font>
      <sz val="10"/>
      <color theme="0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4"/>
      <color theme="0"/>
      <name val="等线"/>
      <family val="2"/>
      <scheme val="minor"/>
    </font>
    <font>
      <sz val="11"/>
      <color rgb="FF000000"/>
      <name val="等线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FFFFFF"/>
      <name val="等线"/>
      <family val="3"/>
      <charset val="134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等线"/>
      <family val="2"/>
      <scheme val="minor"/>
    </font>
    <font>
      <sz val="10"/>
      <color rgb="FFFF0000"/>
      <name val="宋体"/>
      <family val="3"/>
      <charset val="134"/>
    </font>
    <font>
      <sz val="10"/>
      <color rgb="FFFFC000"/>
      <name val="Calibri"/>
      <family val="2"/>
    </font>
    <font>
      <b/>
      <sz val="11"/>
      <color theme="1"/>
      <name val="等线"/>
      <family val="2"/>
      <scheme val="minor"/>
    </font>
    <font>
      <sz val="10"/>
      <name val="等线"/>
      <family val="2"/>
      <scheme val="minor"/>
    </font>
    <font>
      <sz val="10"/>
      <color rgb="FF000000"/>
      <name val="等线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rgb="FFD6DCE4"/>
      </patternFill>
    </fill>
    <fill>
      <patternFill patternType="solid">
        <fgColor theme="0"/>
        <bgColor rgb="FFD6DCE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9">
    <xf numFmtId="0" fontId="0" fillId="0" borderId="0"/>
    <xf numFmtId="178" fontId="2" fillId="0" borderId="0" applyFont="0" applyFill="0" applyBorder="0" applyAlignment="0" applyProtection="0"/>
    <xf numFmtId="182" fontId="7" fillId="0" borderId="0"/>
    <xf numFmtId="182" fontId="7" fillId="0" borderId="0"/>
    <xf numFmtId="185" fontId="1" fillId="0" borderId="0">
      <alignment vertical="center"/>
    </xf>
    <xf numFmtId="182" fontId="7" fillId="0" borderId="0">
      <alignment vertical="center"/>
    </xf>
    <xf numFmtId="178" fontId="7" fillId="0" borderId="0" applyFont="0" applyFill="0" applyBorder="0" applyAlignment="0" applyProtection="0"/>
    <xf numFmtId="0" fontId="7" fillId="0" borderId="0"/>
    <xf numFmtId="182" fontId="7" fillId="0" borderId="0"/>
    <xf numFmtId="0" fontId="19" fillId="0" borderId="0"/>
    <xf numFmtId="188" fontId="20" fillId="0" borderId="0"/>
    <xf numFmtId="178" fontId="2" fillId="0" borderId="0" applyFont="0" applyFill="0" applyBorder="0" applyAlignment="0" applyProtection="0"/>
    <xf numFmtId="189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90" fontId="26" fillId="0" borderId="0" applyFont="0" applyFill="0" applyBorder="0" applyAlignment="0" applyProtection="0"/>
    <xf numFmtId="191" fontId="26" fillId="0" borderId="0"/>
    <xf numFmtId="0" fontId="27" fillId="0" borderId="0"/>
    <xf numFmtId="43" fontId="28" fillId="0" borderId="0" applyFont="0" applyFill="0" applyBorder="0" applyAlignment="0" applyProtection="0"/>
    <xf numFmtId="189" fontId="2" fillId="0" borderId="0"/>
    <xf numFmtId="0" fontId="28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189" fontId="2" fillId="0" borderId="0">
      <alignment vertical="center"/>
    </xf>
    <xf numFmtId="189" fontId="2" fillId="0" borderId="0">
      <alignment vertical="center"/>
    </xf>
    <xf numFmtId="9" fontId="2" fillId="0" borderId="0" applyFont="0" applyFill="0" applyBorder="0" applyAlignment="0" applyProtection="0"/>
    <xf numFmtId="189" fontId="2" fillId="0" borderId="0">
      <alignment vertical="center"/>
    </xf>
  </cellStyleXfs>
  <cellXfs count="508">
    <xf numFmtId="0" fontId="0" fillId="0" borderId="0" xfId="0"/>
    <xf numFmtId="0" fontId="0" fillId="2" borderId="0" xfId="0" applyFill="1"/>
    <xf numFmtId="179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0" xfId="0" applyFill="1" applyProtection="1"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0" fillId="2" borderId="0" xfId="0" applyFont="1" applyFill="1" applyProtection="1">
      <protection locked="0"/>
    </xf>
    <xf numFmtId="184" fontId="0" fillId="2" borderId="0" xfId="0" applyNumberFormat="1" applyFill="1" applyProtection="1"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181" fontId="5" fillId="2" borderId="1" xfId="1" applyNumberFormat="1" applyFont="1" applyFill="1" applyBorder="1" applyAlignment="1" applyProtection="1">
      <alignment horizontal="center" vertical="center"/>
      <protection locked="0"/>
    </xf>
    <xf numFmtId="184" fontId="5" fillId="2" borderId="1" xfId="1" applyNumberFormat="1" applyFont="1" applyFill="1" applyBorder="1" applyAlignment="1" applyProtection="1">
      <alignment horizontal="center" vertical="center"/>
      <protection locked="0"/>
    </xf>
    <xf numFmtId="184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9" fillId="2" borderId="0" xfId="0" applyFont="1" applyFill="1" applyProtection="1">
      <protection locked="0"/>
    </xf>
    <xf numFmtId="0" fontId="5" fillId="0" borderId="1" xfId="0" applyFont="1" applyBorder="1" applyAlignment="1">
      <alignment horizontal="center" vertical="center"/>
    </xf>
    <xf numFmtId="38" fontId="5" fillId="2" borderId="1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181" fontId="0" fillId="2" borderId="0" xfId="1" applyNumberFormat="1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178" fontId="5" fillId="2" borderId="1" xfId="1" applyFont="1" applyFill="1" applyBorder="1" applyAlignment="1">
      <alignment horizontal="center" vertical="center"/>
    </xf>
    <xf numFmtId="1" fontId="0" fillId="2" borderId="0" xfId="0" applyNumberFormat="1" applyFill="1" applyProtection="1">
      <protection locked="0"/>
    </xf>
    <xf numFmtId="179" fontId="13" fillId="2" borderId="1" xfId="7" applyNumberFormat="1" applyFont="1" applyFill="1" applyBorder="1" applyAlignment="1">
      <alignment horizontal="center" vertical="center"/>
    </xf>
    <xf numFmtId="0" fontId="3" fillId="2" borderId="0" xfId="0" applyFont="1" applyFill="1" applyProtection="1">
      <protection locked="0"/>
    </xf>
    <xf numFmtId="183" fontId="5" fillId="2" borderId="1" xfId="0" applyNumberFormat="1" applyFont="1" applyFill="1" applyBorder="1" applyAlignment="1">
      <alignment horizontal="center" vertical="center"/>
    </xf>
    <xf numFmtId="0" fontId="6" fillId="0" borderId="1" xfId="4" applyNumberFormat="1" applyFont="1" applyBorder="1" applyAlignment="1" applyProtection="1">
      <alignment horizontal="center" vertical="center" wrapText="1"/>
      <protection locked="0"/>
    </xf>
    <xf numFmtId="181" fontId="5" fillId="0" borderId="1" xfId="1" applyNumberFormat="1" applyFont="1" applyFill="1" applyBorder="1" applyAlignment="1" applyProtection="1">
      <alignment horizontal="center" vertical="center"/>
      <protection locked="0"/>
    </xf>
    <xf numFmtId="43" fontId="5" fillId="0" borderId="1" xfId="1" applyNumberFormat="1" applyFont="1" applyBorder="1" applyAlignment="1" applyProtection="1">
      <alignment horizontal="center" vertical="center"/>
      <protection locked="0"/>
    </xf>
    <xf numFmtId="0" fontId="5" fillId="0" borderId="1" xfId="1" applyNumberFormat="1" applyFont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86" fontId="6" fillId="0" borderId="1" xfId="4" applyNumberFormat="1" applyFont="1" applyBorder="1" applyAlignment="1" applyProtection="1">
      <alignment horizontal="center" vertical="center" wrapText="1"/>
      <protection locked="0"/>
    </xf>
    <xf numFmtId="0" fontId="5" fillId="2" borderId="0" xfId="0" applyFont="1" applyFill="1" applyProtection="1">
      <protection locked="0"/>
    </xf>
    <xf numFmtId="14" fontId="6" fillId="2" borderId="1" xfId="2" applyNumberFormat="1" applyFont="1" applyFill="1" applyBorder="1" applyAlignment="1" applyProtection="1">
      <alignment horizontal="center"/>
      <protection locked="0"/>
    </xf>
    <xf numFmtId="1" fontId="6" fillId="2" borderId="1" xfId="2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87" fontId="5" fillId="2" borderId="1" xfId="1" applyNumberFormat="1" applyFont="1" applyFill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81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4" fontId="6" fillId="0" borderId="1" xfId="2" applyNumberFormat="1" applyFont="1" applyBorder="1" applyAlignment="1" applyProtection="1">
      <alignment horizontal="center"/>
      <protection locked="0"/>
    </xf>
    <xf numFmtId="1" fontId="6" fillId="0" borderId="1" xfId="2" applyNumberFormat="1" applyFont="1" applyBorder="1" applyAlignment="1" applyProtection="1">
      <alignment horizontal="center"/>
      <protection locked="0"/>
    </xf>
    <xf numFmtId="38" fontId="5" fillId="0" borderId="1" xfId="1" applyNumberFormat="1" applyFont="1" applyFill="1" applyBorder="1" applyAlignment="1">
      <alignment horizontal="center" vertical="center"/>
    </xf>
    <xf numFmtId="178" fontId="5" fillId="0" borderId="1" xfId="1" applyFont="1" applyFill="1" applyBorder="1" applyAlignment="1">
      <alignment horizontal="center" vertical="center"/>
    </xf>
    <xf numFmtId="184" fontId="5" fillId="0" borderId="1" xfId="1" applyNumberFormat="1" applyFont="1" applyFill="1" applyBorder="1" applyAlignment="1" applyProtection="1">
      <alignment horizontal="center" vertical="center"/>
      <protection locked="0"/>
    </xf>
    <xf numFmtId="18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43" fontId="5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0" fontId="22" fillId="0" borderId="1" xfId="0" applyFont="1" applyBorder="1" applyAlignment="1">
      <alignment horizontal="center" vertical="center"/>
    </xf>
    <xf numFmtId="181" fontId="22" fillId="0" borderId="1" xfId="11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38" fontId="21" fillId="6" borderId="1" xfId="0" applyNumberFormat="1" applyFont="1" applyFill="1" applyBorder="1" applyAlignment="1">
      <alignment horizontal="center" vertical="center" wrapText="1"/>
    </xf>
    <xf numFmtId="0" fontId="30" fillId="9" borderId="7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 wrapText="1"/>
    </xf>
    <xf numFmtId="0" fontId="32" fillId="8" borderId="9" xfId="0" applyFont="1" applyFill="1" applyBorder="1" applyAlignment="1">
      <alignment horizontal="center" vertical="center" wrapText="1"/>
    </xf>
    <xf numFmtId="0" fontId="32" fillId="8" borderId="10" xfId="0" applyFont="1" applyFill="1" applyBorder="1" applyAlignment="1">
      <alignment horizontal="center" vertical="center"/>
    </xf>
    <xf numFmtId="0" fontId="32" fillId="8" borderId="11" xfId="0" applyFont="1" applyFill="1" applyBorder="1" applyAlignment="1">
      <alignment horizontal="center" vertical="center" wrapText="1"/>
    </xf>
    <xf numFmtId="0" fontId="32" fillId="8" borderId="12" xfId="0" applyFont="1" applyFill="1" applyBorder="1" applyAlignment="1">
      <alignment horizontal="center" vertical="center"/>
    </xf>
    <xf numFmtId="189" fontId="0" fillId="0" borderId="0" xfId="28" applyFont="1">
      <alignment vertical="center"/>
    </xf>
    <xf numFmtId="0" fontId="34" fillId="0" borderId="1" xfId="23" applyFont="1" applyBorder="1" applyAlignment="1">
      <alignment horizontal="center" vertical="center"/>
    </xf>
    <xf numFmtId="0" fontId="35" fillId="0" borderId="0" xfId="23" applyFont="1" applyAlignment="1">
      <alignment horizontal="center" vertical="center"/>
    </xf>
    <xf numFmtId="0" fontId="36" fillId="0" borderId="0" xfId="23" applyFont="1" applyAlignment="1">
      <alignment horizontal="center" vertical="center"/>
    </xf>
    <xf numFmtId="0" fontId="37" fillId="0" borderId="0" xfId="23" applyFont="1" applyAlignment="1">
      <alignment vertical="center"/>
    </xf>
    <xf numFmtId="0" fontId="38" fillId="0" borderId="0" xfId="23" applyFont="1" applyAlignment="1">
      <alignment vertical="center"/>
    </xf>
    <xf numFmtId="0" fontId="38" fillId="0" borderId="0" xfId="23" applyFont="1" applyAlignment="1">
      <alignment horizontal="center" vertical="center"/>
    </xf>
    <xf numFmtId="0" fontId="37" fillId="0" borderId="0" xfId="23" applyFont="1" applyAlignment="1">
      <alignment horizontal="center" vertical="center"/>
    </xf>
    <xf numFmtId="0" fontId="11" fillId="0" borderId="0" xfId="23" applyFont="1" applyAlignment="1">
      <alignment horizontal="center" vertical="center"/>
    </xf>
    <xf numFmtId="0" fontId="11" fillId="0" borderId="0" xfId="23" applyFont="1" applyAlignment="1">
      <alignment horizontal="center" vertical="center" wrapText="1"/>
    </xf>
    <xf numFmtId="0" fontId="37" fillId="11" borderId="13" xfId="20" applyFont="1" applyFill="1" applyBorder="1" applyAlignment="1">
      <alignment horizontal="center" vertical="center" wrapText="1"/>
    </xf>
    <xf numFmtId="0" fontId="34" fillId="0" borderId="0" xfId="23" applyFont="1" applyAlignment="1">
      <alignment horizontal="center" vertical="center"/>
    </xf>
    <xf numFmtId="0" fontId="34" fillId="0" borderId="0" xfId="23" applyFont="1" applyAlignment="1">
      <alignment vertical="center" wrapText="1"/>
    </xf>
    <xf numFmtId="0" fontId="38" fillId="11" borderId="14" xfId="20" applyFont="1" applyFill="1" applyBorder="1" applyAlignment="1">
      <alignment horizontal="center" vertical="center" wrapText="1"/>
    </xf>
    <xf numFmtId="0" fontId="38" fillId="11" borderId="13" xfId="20" applyFont="1" applyFill="1" applyBorder="1" applyAlignment="1">
      <alignment horizontal="center" vertical="center" wrapText="1"/>
    </xf>
    <xf numFmtId="0" fontId="38" fillId="11" borderId="13" xfId="20" applyFont="1" applyFill="1" applyBorder="1" applyAlignment="1">
      <alignment horizontal="center" vertical="center"/>
    </xf>
    <xf numFmtId="0" fontId="39" fillId="11" borderId="13" xfId="20" applyFont="1" applyFill="1" applyBorder="1" applyAlignment="1">
      <alignment horizontal="center" vertical="center" wrapText="1"/>
    </xf>
    <xf numFmtId="192" fontId="34" fillId="0" borderId="0" xfId="23" applyNumberFormat="1" applyFont="1" applyAlignment="1">
      <alignment horizontal="center" vertical="center"/>
    </xf>
    <xf numFmtId="0" fontId="11" fillId="0" borderId="0" xfId="23" applyFont="1" applyAlignment="1">
      <alignment vertical="center"/>
    </xf>
    <xf numFmtId="189" fontId="11" fillId="0" borderId="5" xfId="28" applyFont="1" applyBorder="1" applyAlignment="1">
      <alignment horizontal="left" vertical="center"/>
    </xf>
    <xf numFmtId="193" fontId="11" fillId="0" borderId="1" xfId="28" applyNumberFormat="1" applyFont="1" applyBorder="1" applyAlignment="1">
      <alignment horizontal="center" vertical="center"/>
    </xf>
    <xf numFmtId="194" fontId="34" fillId="2" borderId="1" xfId="15" applyNumberFormat="1" applyFont="1" applyFill="1" applyBorder="1" applyAlignment="1">
      <alignment horizontal="center" vertical="center"/>
    </xf>
    <xf numFmtId="0" fontId="11" fillId="0" borderId="5" xfId="20" applyFont="1" applyBorder="1" applyAlignment="1">
      <alignment horizontal="center" vertical="center" wrapText="1"/>
    </xf>
    <xf numFmtId="187" fontId="11" fillId="0" borderId="5" xfId="20" applyNumberFormat="1" applyFont="1" applyBorder="1" applyAlignment="1" applyProtection="1">
      <alignment horizontal="center" vertical="center" wrapText="1"/>
      <protection locked="0"/>
    </xf>
    <xf numFmtId="0" fontId="11" fillId="0" borderId="5" xfId="20" applyFont="1" applyBorder="1" applyAlignment="1" applyProtection="1">
      <alignment horizontal="center" vertical="center" wrapText="1"/>
      <protection locked="0"/>
    </xf>
    <xf numFmtId="3" fontId="11" fillId="0" borderId="5" xfId="20" applyNumberFormat="1" applyFont="1" applyBorder="1" applyAlignment="1" applyProtection="1">
      <alignment horizontal="center" vertical="center" wrapText="1"/>
      <protection locked="0"/>
    </xf>
    <xf numFmtId="1" fontId="11" fillId="0" borderId="5" xfId="20" applyNumberFormat="1" applyFont="1" applyBorder="1" applyAlignment="1" applyProtection="1">
      <alignment horizontal="center" vertical="center" wrapText="1"/>
      <protection locked="0"/>
    </xf>
    <xf numFmtId="187" fontId="11" fillId="12" borderId="5" xfId="18" applyNumberFormat="1" applyFont="1" applyFill="1" applyBorder="1" applyAlignment="1">
      <alignment horizontal="center" vertical="center" wrapText="1"/>
    </xf>
    <xf numFmtId="187" fontId="11" fillId="2" borderId="5" xfId="20" applyNumberFormat="1" applyFont="1" applyFill="1" applyBorder="1" applyAlignment="1" applyProtection="1">
      <alignment horizontal="center" vertical="center" wrapText="1"/>
      <protection locked="0"/>
    </xf>
    <xf numFmtId="195" fontId="11" fillId="0" borderId="5" xfId="18" applyNumberFormat="1" applyFont="1" applyBorder="1" applyAlignment="1">
      <alignment horizontal="center" vertical="center" wrapText="1"/>
    </xf>
    <xf numFmtId="196" fontId="11" fillId="0" borderId="5" xfId="18" applyNumberFormat="1" applyFont="1" applyBorder="1" applyAlignment="1">
      <alignment horizontal="center" vertical="center"/>
    </xf>
    <xf numFmtId="197" fontId="11" fillId="0" borderId="5" xfId="18" applyNumberFormat="1" applyFont="1" applyBorder="1" applyAlignment="1">
      <alignment horizontal="center" vertical="center" wrapText="1"/>
    </xf>
    <xf numFmtId="198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97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97" fontId="11" fillId="0" borderId="1" xfId="20" applyNumberFormat="1" applyFont="1" applyBorder="1" applyAlignment="1" applyProtection="1">
      <alignment horizontal="center" vertical="center" wrapText="1"/>
      <protection locked="0"/>
    </xf>
    <xf numFmtId="198" fontId="11" fillId="2" borderId="3" xfId="20" applyNumberFormat="1" applyFont="1" applyFill="1" applyBorder="1" applyAlignment="1" applyProtection="1">
      <alignment horizontal="center" vertical="center" wrapText="1"/>
      <protection locked="0"/>
    </xf>
    <xf numFmtId="0" fontId="25" fillId="13" borderId="16" xfId="23" applyFont="1" applyFill="1" applyBorder="1" applyAlignment="1">
      <alignment horizontal="center" vertical="center"/>
    </xf>
    <xf numFmtId="0" fontId="25" fillId="13" borderId="0" xfId="23" applyFont="1" applyFill="1" applyAlignment="1">
      <alignment horizontal="center" vertical="center"/>
    </xf>
    <xf numFmtId="0" fontId="25" fillId="13" borderId="18" xfId="23" applyFont="1" applyFill="1" applyBorder="1" applyAlignment="1">
      <alignment horizontal="left" vertical="center"/>
    </xf>
    <xf numFmtId="0" fontId="25" fillId="13" borderId="18" xfId="23" applyFont="1" applyFill="1" applyBorder="1" applyAlignment="1">
      <alignment horizontal="center" vertical="center"/>
    </xf>
    <xf numFmtId="195" fontId="25" fillId="13" borderId="4" xfId="18" applyNumberFormat="1" applyFont="1" applyFill="1" applyBorder="1" applyAlignment="1">
      <alignment horizontal="center" vertical="center" wrapText="1"/>
    </xf>
    <xf numFmtId="197" fontId="25" fillId="13" borderId="20" xfId="18" applyNumberFormat="1" applyFont="1" applyFill="1" applyBorder="1" applyAlignment="1">
      <alignment horizontal="center" vertical="center" wrapText="1"/>
    </xf>
    <xf numFmtId="0" fontId="34" fillId="13" borderId="0" xfId="23" applyFont="1" applyFill="1" applyAlignment="1">
      <alignment vertical="center"/>
    </xf>
    <xf numFmtId="197" fontId="25" fillId="13" borderId="5" xfId="23" applyNumberFormat="1" applyFont="1" applyFill="1" applyBorder="1" applyAlignment="1">
      <alignment horizontal="center" vertical="center" wrapText="1"/>
    </xf>
    <xf numFmtId="0" fontId="25" fillId="0" borderId="0" xfId="23" applyFont="1" applyAlignment="1">
      <alignment vertical="center" wrapText="1"/>
    </xf>
    <xf numFmtId="0" fontId="25" fillId="14" borderId="21" xfId="23" applyFont="1" applyFill="1" applyBorder="1" applyAlignment="1">
      <alignment horizontal="center" vertical="center"/>
    </xf>
    <xf numFmtId="0" fontId="25" fillId="14" borderId="22" xfId="23" applyFont="1" applyFill="1" applyBorder="1" applyAlignment="1">
      <alignment horizontal="center" vertical="center"/>
    </xf>
    <xf numFmtId="195" fontId="38" fillId="14" borderId="25" xfId="18" applyNumberFormat="1" applyFont="1" applyFill="1" applyBorder="1" applyAlignment="1">
      <alignment horizontal="center" vertical="center" wrapText="1"/>
    </xf>
    <xf numFmtId="197" fontId="38" fillId="14" borderId="26" xfId="18" applyNumberFormat="1" applyFont="1" applyFill="1" applyBorder="1" applyAlignment="1">
      <alignment horizontal="center" vertical="center" wrapText="1"/>
    </xf>
    <xf numFmtId="0" fontId="38" fillId="14" borderId="3" xfId="23" applyFont="1" applyFill="1" applyBorder="1" applyAlignment="1">
      <alignment horizontal="center" vertical="center" wrapText="1"/>
    </xf>
    <xf numFmtId="197" fontId="38" fillId="14" borderId="1" xfId="23" applyNumberFormat="1" applyFont="1" applyFill="1" applyBorder="1" applyAlignment="1">
      <alignment horizontal="center" vertical="center"/>
    </xf>
    <xf numFmtId="0" fontId="25" fillId="0" borderId="0" xfId="23" applyFont="1" applyAlignment="1">
      <alignment horizontal="center" vertical="center"/>
    </xf>
    <xf numFmtId="197" fontId="25" fillId="0" borderId="0" xfId="23" applyNumberFormat="1" applyFont="1" applyAlignment="1">
      <alignment vertical="center"/>
    </xf>
    <xf numFmtId="0" fontId="25" fillId="0" borderId="0" xfId="23" applyFont="1" applyAlignment="1">
      <alignment vertical="center"/>
    </xf>
    <xf numFmtId="0" fontId="25" fillId="0" borderId="0" xfId="23" applyFont="1" applyAlignment="1">
      <alignment horizontal="center" vertical="center" wrapText="1"/>
    </xf>
    <xf numFmtId="195" fontId="11" fillId="0" borderId="0" xfId="18" applyNumberFormat="1" applyFont="1" applyAlignment="1">
      <alignment horizontal="center" vertical="center" wrapText="1"/>
    </xf>
    <xf numFmtId="196" fontId="11" fillId="0" borderId="0" xfId="18" applyNumberFormat="1" applyFont="1" applyAlignment="1">
      <alignment horizontal="center" vertical="center"/>
    </xf>
    <xf numFmtId="195" fontId="40" fillId="0" borderId="0" xfId="18" applyNumberFormat="1" applyFont="1" applyAlignment="1">
      <alignment horizontal="center" vertical="center" wrapText="1"/>
    </xf>
    <xf numFmtId="199" fontId="25" fillId="0" borderId="0" xfId="23" applyNumberFormat="1" applyFont="1" applyAlignment="1">
      <alignment horizontal="center" vertical="center"/>
    </xf>
    <xf numFmtId="189" fontId="34" fillId="0" borderId="5" xfId="28" applyFont="1" applyBorder="1" applyAlignment="1">
      <alignment horizontal="left" vertical="center"/>
    </xf>
    <xf numFmtId="0" fontId="34" fillId="0" borderId="5" xfId="20" applyFont="1" applyBorder="1" applyAlignment="1" applyProtection="1">
      <alignment horizontal="center" vertical="center" wrapText="1"/>
      <protection locked="0"/>
    </xf>
    <xf numFmtId="187" fontId="34" fillId="0" borderId="1" xfId="18" applyNumberFormat="1" applyFont="1" applyBorder="1" applyAlignment="1">
      <alignment horizontal="center" vertical="center" wrapText="1"/>
    </xf>
    <xf numFmtId="187" fontId="11" fillId="2" borderId="5" xfId="20" applyNumberFormat="1" applyFont="1" applyFill="1" applyBorder="1" applyAlignment="1">
      <alignment horizontal="center" vertical="center" wrapText="1"/>
    </xf>
    <xf numFmtId="195" fontId="34" fillId="0" borderId="1" xfId="18" applyNumberFormat="1" applyFont="1" applyBorder="1" applyAlignment="1">
      <alignment horizontal="center" vertical="center" wrapText="1"/>
    </xf>
    <xf numFmtId="196" fontId="34" fillId="0" borderId="1" xfId="18" applyNumberFormat="1" applyFont="1" applyBorder="1" applyAlignment="1">
      <alignment horizontal="center" vertical="center"/>
    </xf>
    <xf numFmtId="2" fontId="34" fillId="0" borderId="5" xfId="20" applyNumberFormat="1" applyFont="1" applyBorder="1" applyAlignment="1" applyProtection="1">
      <alignment horizontal="center" vertical="center" wrapText="1"/>
      <protection locked="0"/>
    </xf>
    <xf numFmtId="197" fontId="34" fillId="0" borderId="5" xfId="20" applyNumberFormat="1" applyFont="1" applyBorder="1" applyAlignment="1" applyProtection="1">
      <alignment horizontal="center" vertical="center" wrapText="1"/>
      <protection locked="0"/>
    </xf>
    <xf numFmtId="0" fontId="25" fillId="14" borderId="28" xfId="23" applyFont="1" applyFill="1" applyBorder="1" applyAlignment="1">
      <alignment horizontal="center" vertical="center"/>
    </xf>
    <xf numFmtId="0" fontId="25" fillId="14" borderId="28" xfId="23" applyFont="1" applyFill="1" applyBorder="1" applyAlignment="1">
      <alignment horizontal="left" vertical="center"/>
    </xf>
    <xf numFmtId="195" fontId="38" fillId="14" borderId="31" xfId="18" applyNumberFormat="1" applyFont="1" applyFill="1" applyBorder="1" applyAlignment="1">
      <alignment horizontal="center" vertical="center" wrapText="1"/>
    </xf>
    <xf numFmtId="0" fontId="38" fillId="14" borderId="5" xfId="23" applyFont="1" applyFill="1" applyBorder="1" applyAlignment="1">
      <alignment horizontal="center" vertical="center" wrapText="1"/>
    </xf>
    <xf numFmtId="197" fontId="38" fillId="14" borderId="5" xfId="23" applyNumberFormat="1" applyFont="1" applyFill="1" applyBorder="1" applyAlignment="1">
      <alignment horizontal="center" vertical="center"/>
    </xf>
    <xf numFmtId="0" fontId="34" fillId="0" borderId="0" xfId="23" applyFont="1" applyAlignment="1">
      <alignment horizontal="left" vertical="center"/>
    </xf>
    <xf numFmtId="189" fontId="11" fillId="0" borderId="1" xfId="28" applyFont="1" applyBorder="1" applyAlignment="1">
      <alignment horizontal="left" vertical="center"/>
    </xf>
    <xf numFmtId="0" fontId="11" fillId="0" borderId="1" xfId="20" applyFont="1" applyBorder="1" applyAlignment="1" applyProtection="1">
      <alignment horizontal="center" vertical="center" wrapText="1"/>
      <protection locked="0"/>
    </xf>
    <xf numFmtId="187" fontId="11" fillId="12" borderId="1" xfId="18" applyNumberFormat="1" applyFont="1" applyFill="1" applyBorder="1" applyAlignment="1">
      <alignment horizontal="center" vertical="center" wrapText="1"/>
    </xf>
    <xf numFmtId="187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95" fontId="11" fillId="0" borderId="1" xfId="18" applyNumberFormat="1" applyFont="1" applyBorder="1" applyAlignment="1">
      <alignment horizontal="center" vertical="center" wrapText="1"/>
    </xf>
    <xf numFmtId="196" fontId="11" fillId="0" borderId="1" xfId="18" applyNumberFormat="1" applyFont="1" applyBorder="1" applyAlignment="1">
      <alignment horizontal="center" vertical="center"/>
    </xf>
    <xf numFmtId="2" fontId="11" fillId="2" borderId="5" xfId="20" applyNumberFormat="1" applyFont="1" applyFill="1" applyBorder="1" applyAlignment="1" applyProtection="1">
      <alignment horizontal="center" vertical="center" wrapText="1"/>
      <protection locked="0"/>
    </xf>
    <xf numFmtId="0" fontId="11" fillId="2" borderId="5" xfId="20" applyFont="1" applyFill="1" applyBorder="1" applyAlignment="1" applyProtection="1">
      <alignment horizontal="center" vertical="center" wrapText="1"/>
      <protection locked="0"/>
    </xf>
    <xf numFmtId="195" fontId="40" fillId="13" borderId="4" xfId="18" applyNumberFormat="1" applyFont="1" applyFill="1" applyBorder="1" applyAlignment="1">
      <alignment horizontal="center" vertical="center" wrapText="1"/>
    </xf>
    <xf numFmtId="0" fontId="37" fillId="13" borderId="0" xfId="23" applyFont="1" applyFill="1" applyAlignment="1">
      <alignment vertical="center"/>
    </xf>
    <xf numFmtId="200" fontId="34" fillId="0" borderId="0" xfId="23" applyNumberFormat="1" applyFont="1" applyAlignment="1">
      <alignment horizontal="center" vertical="center"/>
    </xf>
    <xf numFmtId="179" fontId="0" fillId="0" borderId="0" xfId="28" applyNumberFormat="1" applyFont="1">
      <alignment vertical="center"/>
    </xf>
    <xf numFmtId="201" fontId="11" fillId="2" borderId="1" xfId="20" applyNumberFormat="1" applyFont="1" applyFill="1" applyBorder="1" applyAlignment="1" applyProtection="1">
      <alignment horizontal="center" vertical="center" wrapText="1"/>
      <protection locked="0"/>
    </xf>
    <xf numFmtId="182" fontId="42" fillId="0" borderId="0" xfId="3" applyFont="1" applyAlignment="1">
      <alignment vertical="center" wrapText="1"/>
    </xf>
    <xf numFmtId="0" fontId="42" fillId="0" borderId="0" xfId="0" applyFont="1" applyAlignment="1">
      <alignment vertical="center"/>
    </xf>
    <xf numFmtId="0" fontId="43" fillId="11" borderId="14" xfId="20" applyFont="1" applyFill="1" applyBorder="1" applyAlignment="1">
      <alignment horizontal="center" vertical="center" wrapText="1"/>
    </xf>
    <xf numFmtId="0" fontId="43" fillId="11" borderId="13" xfId="20" applyFont="1" applyFill="1" applyBorder="1" applyAlignment="1">
      <alignment horizontal="center" vertical="center" wrapText="1"/>
    </xf>
    <xf numFmtId="0" fontId="43" fillId="11" borderId="13" xfId="20" applyFont="1" applyFill="1" applyBorder="1" applyAlignment="1">
      <alignment horizontal="center" vertical="center"/>
    </xf>
    <xf numFmtId="0" fontId="44" fillId="11" borderId="13" xfId="20" applyFont="1" applyFill="1" applyBorder="1" applyAlignment="1">
      <alignment horizontal="center" vertical="center" wrapText="1"/>
    </xf>
    <xf numFmtId="182" fontId="45" fillId="0" borderId="0" xfId="3" applyFont="1" applyAlignment="1">
      <alignment vertical="center"/>
    </xf>
    <xf numFmtId="0" fontId="43" fillId="11" borderId="2" xfId="20" applyFont="1" applyFill="1" applyBorder="1" applyAlignment="1">
      <alignment horizontal="center" vertical="center" wrapText="1"/>
    </xf>
    <xf numFmtId="182" fontId="46" fillId="0" borderId="0" xfId="3" applyFont="1" applyAlignment="1">
      <alignment horizontal="center" vertical="center" wrapText="1"/>
    </xf>
    <xf numFmtId="182" fontId="42" fillId="0" borderId="0" xfId="3" applyFont="1" applyAlignment="1">
      <alignment horizontal="center" vertical="center" wrapText="1"/>
    </xf>
    <xf numFmtId="0" fontId="48" fillId="0" borderId="1" xfId="0" applyFont="1" applyBorder="1" applyAlignment="1">
      <alignment horizontal="left" vertical="center"/>
    </xf>
    <xf numFmtId="202" fontId="42" fillId="0" borderId="1" xfId="20" applyNumberFormat="1" applyFont="1" applyBorder="1" applyAlignment="1" applyProtection="1">
      <alignment horizontal="center" vertical="center" wrapText="1"/>
      <protection locked="0"/>
    </xf>
    <xf numFmtId="0" fontId="42" fillId="0" borderId="1" xfId="0" applyFont="1" applyBorder="1" applyAlignment="1">
      <alignment vertical="center"/>
    </xf>
    <xf numFmtId="183" fontId="42" fillId="0" borderId="1" xfId="0" applyNumberFormat="1" applyFont="1" applyBorder="1" applyAlignment="1">
      <alignment horizontal="center" vertical="center"/>
    </xf>
    <xf numFmtId="203" fontId="42" fillId="0" borderId="1" xfId="0" applyNumberFormat="1" applyFont="1" applyBorder="1" applyAlignment="1">
      <alignment vertical="center"/>
    </xf>
    <xf numFmtId="203" fontId="42" fillId="0" borderId="1" xfId="0" applyNumberFormat="1" applyFont="1" applyBorder="1" applyAlignment="1">
      <alignment horizontal="center" vertical="center"/>
    </xf>
    <xf numFmtId="204" fontId="42" fillId="0" borderId="1" xfId="0" applyNumberFormat="1" applyFont="1" applyBorder="1" applyAlignment="1">
      <alignment horizontal="center" vertical="center"/>
    </xf>
    <xf numFmtId="193" fontId="42" fillId="0" borderId="1" xfId="0" applyNumberFormat="1" applyFont="1" applyBorder="1" applyAlignment="1">
      <alignment horizontal="center" vertical="center"/>
    </xf>
    <xf numFmtId="205" fontId="42" fillId="0" borderId="1" xfId="0" applyNumberFormat="1" applyFont="1" applyBorder="1" applyAlignment="1">
      <alignment horizontal="center" vertical="center"/>
    </xf>
    <xf numFmtId="206" fontId="42" fillId="0" borderId="1" xfId="0" applyNumberFormat="1" applyFont="1" applyBorder="1" applyAlignment="1">
      <alignment vertical="center"/>
    </xf>
    <xf numFmtId="205" fontId="42" fillId="0" borderId="3" xfId="0" applyNumberFormat="1" applyFont="1" applyBorder="1" applyAlignment="1">
      <alignment horizontal="center" vertical="center"/>
    </xf>
    <xf numFmtId="9" fontId="42" fillId="0" borderId="0" xfId="27" applyFont="1" applyAlignment="1" applyProtection="1">
      <alignment horizontal="center" vertical="center" wrapText="1"/>
      <protection locked="0"/>
    </xf>
    <xf numFmtId="203" fontId="42" fillId="0" borderId="0" xfId="0" applyNumberFormat="1" applyFont="1" applyAlignment="1">
      <alignment horizontal="center" vertical="center"/>
    </xf>
    <xf numFmtId="206" fontId="42" fillId="0" borderId="0" xfId="0" applyNumberFormat="1" applyFont="1" applyAlignment="1">
      <alignment horizontal="center" vertical="center"/>
    </xf>
    <xf numFmtId="205" fontId="48" fillId="0" borderId="0" xfId="3" applyNumberFormat="1" applyFont="1" applyAlignment="1">
      <alignment horizontal="center" vertical="center"/>
    </xf>
    <xf numFmtId="203" fontId="42" fillId="0" borderId="0" xfId="0" applyNumberFormat="1" applyFont="1" applyAlignment="1">
      <alignment vertical="center"/>
    </xf>
    <xf numFmtId="182" fontId="42" fillId="0" borderId="0" xfId="3" applyFont="1" applyAlignment="1">
      <alignment vertical="center"/>
    </xf>
    <xf numFmtId="179" fontId="0" fillId="0" borderId="0" xfId="0" applyNumberFormat="1"/>
    <xf numFmtId="179" fontId="21" fillId="6" borderId="1" xfId="0" applyNumberFormat="1" applyFont="1" applyFill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center" vertical="center"/>
    </xf>
    <xf numFmtId="179" fontId="22" fillId="8" borderId="1" xfId="0" applyNumberFormat="1" applyFont="1" applyFill="1" applyBorder="1" applyAlignment="1">
      <alignment horizontal="center" vertical="center"/>
    </xf>
    <xf numFmtId="179" fontId="22" fillId="8" borderId="1" xfId="11" applyNumberFormat="1" applyFont="1" applyFill="1" applyBorder="1" applyAlignment="1">
      <alignment horizontal="center" vertical="center"/>
    </xf>
    <xf numFmtId="0" fontId="21" fillId="6" borderId="33" xfId="0" applyFont="1" applyFill="1" applyBorder="1" applyAlignment="1">
      <alignment horizontal="center" vertical="center" wrapText="1"/>
    </xf>
    <xf numFmtId="38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 applyProtection="1">
      <alignment horizontal="center" vertical="center"/>
      <protection locked="0"/>
    </xf>
    <xf numFmtId="178" fontId="6" fillId="0" borderId="1" xfId="1" applyFont="1" applyFill="1" applyBorder="1" applyAlignment="1">
      <alignment horizontal="center" vertical="center"/>
    </xf>
    <xf numFmtId="184" fontId="6" fillId="0" borderId="1" xfId="1" applyNumberFormat="1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81" fontId="22" fillId="2" borderId="6" xfId="1" applyNumberFormat="1" applyFont="1" applyFill="1" applyBorder="1" applyAlignment="1">
      <alignment horizontal="center" vertical="center"/>
    </xf>
    <xf numFmtId="179" fontId="22" fillId="16" borderId="1" xfId="11" applyNumberFormat="1" applyFont="1" applyFill="1" applyBorder="1" applyAlignment="1">
      <alignment horizontal="center" vertical="center"/>
    </xf>
    <xf numFmtId="179" fontId="24" fillId="8" borderId="1" xfId="11" applyNumberFormat="1" applyFont="1" applyFill="1" applyBorder="1" applyAlignment="1">
      <alignment horizontal="center" vertical="center"/>
    </xf>
    <xf numFmtId="179" fontId="41" fillId="8" borderId="1" xfId="11" applyNumberFormat="1" applyFont="1" applyFill="1" applyBorder="1" applyAlignment="1">
      <alignment horizontal="center" vertical="center"/>
    </xf>
    <xf numFmtId="179" fontId="41" fillId="15" borderId="1" xfId="1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79" fontId="22" fillId="8" borderId="2" xfId="0" applyNumberFormat="1" applyFont="1" applyFill="1" applyBorder="1" applyAlignment="1">
      <alignment horizontal="center" vertical="center"/>
    </xf>
    <xf numFmtId="179" fontId="22" fillId="2" borderId="1" xfId="11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179" fontId="22" fillId="2" borderId="2" xfId="11" applyNumberFormat="1" applyFont="1" applyFill="1" applyBorder="1" applyAlignment="1">
      <alignment horizontal="center" vertical="center"/>
    </xf>
    <xf numFmtId="179" fontId="22" fillId="2" borderId="1" xfId="0" applyNumberFormat="1" applyFont="1" applyFill="1" applyBorder="1" applyAlignment="1">
      <alignment horizontal="center" vertical="center"/>
    </xf>
    <xf numFmtId="179" fontId="24" fillId="2" borderId="1" xfId="11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 wrapText="1"/>
    </xf>
    <xf numFmtId="179" fontId="22" fillId="2" borderId="1" xfId="1" applyNumberFormat="1" applyFont="1" applyFill="1" applyBorder="1" applyAlignment="1">
      <alignment horizontal="center" vertical="center"/>
    </xf>
    <xf numFmtId="179" fontId="2" fillId="2" borderId="1" xfId="1" applyNumberFormat="1" applyFont="1" applyFill="1" applyBorder="1" applyAlignment="1">
      <alignment horizontal="center" vertical="center"/>
    </xf>
    <xf numFmtId="179" fontId="23" fillId="10" borderId="1" xfId="0" applyNumberFormat="1" applyFont="1" applyFill="1" applyBorder="1" applyAlignment="1">
      <alignment horizontal="center" vertical="center" wrapText="1"/>
    </xf>
    <xf numFmtId="179" fontId="23" fillId="15" borderId="1" xfId="0" applyNumberFormat="1" applyFont="1" applyFill="1" applyBorder="1" applyAlignment="1">
      <alignment horizontal="center" vertical="center" wrapText="1"/>
    </xf>
    <xf numFmtId="179" fontId="23" fillId="7" borderId="1" xfId="0" applyNumberFormat="1" applyFont="1" applyFill="1" applyBorder="1" applyAlignment="1">
      <alignment horizontal="center" vertical="center" wrapText="1"/>
    </xf>
    <xf numFmtId="179" fontId="23" fillId="7" borderId="2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79" fontId="23" fillId="8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Border="1"/>
    <xf numFmtId="179" fontId="22" fillId="8" borderId="2" xfId="11" applyNumberFormat="1" applyFont="1" applyFill="1" applyBorder="1" applyAlignment="1">
      <alignment horizontal="center" vertical="center"/>
    </xf>
    <xf numFmtId="181" fontId="22" fillId="8" borderId="6" xfId="1" applyNumberFormat="1" applyFont="1" applyFill="1" applyBorder="1" applyAlignment="1">
      <alignment horizontal="center" vertical="center"/>
    </xf>
    <xf numFmtId="0" fontId="0" fillId="4" borderId="0" xfId="0" applyFill="1"/>
    <xf numFmtId="0" fontId="21" fillId="4" borderId="1" xfId="0" applyFont="1" applyFill="1" applyBorder="1" applyAlignment="1">
      <alignment horizontal="center" vertical="center" wrapText="1"/>
    </xf>
    <xf numFmtId="181" fontId="22" fillId="4" borderId="6" xfId="1" applyNumberFormat="1" applyFont="1" applyFill="1" applyBorder="1" applyAlignment="1">
      <alignment horizontal="center" vertical="center"/>
    </xf>
    <xf numFmtId="0" fontId="0" fillId="17" borderId="0" xfId="0" applyFill="1" applyAlignment="1" applyProtection="1">
      <alignment horizontal="center" vertical="center"/>
      <protection locked="0"/>
    </xf>
    <xf numFmtId="1" fontId="3" fillId="17" borderId="1" xfId="0" applyNumberFormat="1" applyFont="1" applyFill="1" applyBorder="1" applyAlignment="1" applyProtection="1">
      <alignment horizontal="center" vertical="center"/>
      <protection hidden="1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0" fontId="3" fillId="17" borderId="0" xfId="0" applyFont="1" applyFill="1"/>
    <xf numFmtId="0" fontId="3" fillId="17" borderId="1" xfId="0" applyFont="1" applyFill="1" applyBorder="1" applyAlignment="1" applyProtection="1">
      <alignment horizontal="center" vertical="center"/>
      <protection locked="0"/>
    </xf>
    <xf numFmtId="0" fontId="49" fillId="15" borderId="0" xfId="0" applyFont="1" applyFill="1" applyAlignment="1">
      <alignment horizontal="center" vertical="center"/>
    </xf>
    <xf numFmtId="183" fontId="0" fillId="17" borderId="0" xfId="0" applyNumberFormat="1" applyFill="1" applyAlignment="1" applyProtection="1">
      <alignment horizontal="center" vertical="center"/>
      <protection locked="0"/>
    </xf>
    <xf numFmtId="180" fontId="0" fillId="17" borderId="0" xfId="0" applyNumberFormat="1" applyFill="1" applyAlignment="1" applyProtection="1">
      <alignment horizontal="center" vertical="center"/>
      <protection locked="0"/>
    </xf>
    <xf numFmtId="14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4" fontId="0" fillId="2" borderId="0" xfId="0" applyNumberFormat="1" applyFill="1"/>
    <xf numFmtId="3" fontId="0" fillId="2" borderId="0" xfId="0" applyNumberFormat="1" applyFill="1"/>
    <xf numFmtId="14" fontId="3" fillId="17" borderId="1" xfId="0" applyNumberFormat="1" applyFont="1" applyFill="1" applyBorder="1" applyAlignment="1" applyProtection="1">
      <alignment horizontal="center" vertical="center"/>
      <protection hidden="1"/>
    </xf>
    <xf numFmtId="3" fontId="3" fillId="17" borderId="1" xfId="0" applyNumberFormat="1" applyFont="1" applyFill="1" applyBorder="1" applyAlignment="1" applyProtection="1">
      <alignment horizontal="center" vertical="center"/>
      <protection hidden="1"/>
    </xf>
    <xf numFmtId="1" fontId="0" fillId="2" borderId="1" xfId="0" applyNumberFormat="1" applyFill="1" applyBorder="1" applyProtection="1">
      <protection locked="0"/>
    </xf>
    <xf numFmtId="0" fontId="49" fillId="15" borderId="0" xfId="0" applyFont="1" applyFill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5" fillId="0" borderId="1" xfId="0" applyNumberFormat="1" applyFont="1" applyBorder="1" applyAlignment="1" applyProtection="1">
      <alignment horizontal="center" vertical="center"/>
      <protection locked="0"/>
    </xf>
    <xf numFmtId="9" fontId="5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1" fontId="0" fillId="0" borderId="1" xfId="0" applyNumberFormat="1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84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1" fontId="0" fillId="2" borderId="0" xfId="0" applyNumberFormat="1" applyFill="1" applyAlignment="1" applyProtection="1">
      <alignment horizontal="center"/>
      <protection locked="0"/>
    </xf>
    <xf numFmtId="1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4" fontId="16" fillId="0" borderId="1" xfId="6" applyNumberFormat="1" applyFont="1" applyFill="1" applyBorder="1" applyAlignment="1" applyProtection="1">
      <alignment horizontal="center" vertical="center" wrapText="1"/>
      <protection locked="0"/>
    </xf>
    <xf numFmtId="179" fontId="13" fillId="0" borderId="1" xfId="7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3" fillId="0" borderId="1" xfId="7" applyNumberFormat="1" applyFont="1" applyBorder="1" applyAlignment="1">
      <alignment horizontal="center" vertical="center" wrapText="1"/>
    </xf>
    <xf numFmtId="0" fontId="5" fillId="0" borderId="1" xfId="5" applyNumberFormat="1" applyFont="1" applyBorder="1" applyAlignment="1">
      <alignment horizontal="center" vertical="center"/>
    </xf>
    <xf numFmtId="179" fontId="5" fillId="0" borderId="1" xfId="5" applyNumberFormat="1" applyFont="1" applyBorder="1" applyAlignment="1">
      <alignment horizontal="center" vertical="center"/>
    </xf>
    <xf numFmtId="14" fontId="6" fillId="0" borderId="1" xfId="6" applyNumberFormat="1" applyFont="1" applyFill="1" applyBorder="1" applyAlignment="1" applyProtection="1">
      <alignment horizontal="center" vertical="center" wrapText="1"/>
      <protection locked="0"/>
    </xf>
    <xf numFmtId="182" fontId="6" fillId="0" borderId="1" xfId="2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82" fontId="5" fillId="0" borderId="1" xfId="3" applyFont="1" applyBorder="1" applyAlignment="1">
      <alignment horizontal="center"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83" fontId="5" fillId="0" borderId="2" xfId="3" applyNumberFormat="1" applyFont="1" applyBorder="1" applyAlignment="1">
      <alignment horizontal="center" vertical="center"/>
    </xf>
    <xf numFmtId="182" fontId="5" fillId="0" borderId="1" xfId="8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/>
      <protection locked="0"/>
    </xf>
    <xf numFmtId="3" fontId="0" fillId="0" borderId="1" xfId="0" applyNumberFormat="1" applyBorder="1" applyProtection="1">
      <protection locked="0"/>
    </xf>
    <xf numFmtId="0" fontId="0" fillId="0" borderId="1" xfId="0" applyBorder="1"/>
    <xf numFmtId="182" fontId="5" fillId="0" borderId="3" xfId="8" applyFont="1" applyBorder="1" applyAlignment="1">
      <alignment horizontal="center" vertical="center"/>
    </xf>
    <xf numFmtId="179" fontId="6" fillId="0" borderId="1" xfId="7" applyNumberFormat="1" applyFont="1" applyBorder="1" applyAlignment="1">
      <alignment horizontal="center" vertical="center"/>
    </xf>
    <xf numFmtId="179" fontId="6" fillId="17" borderId="1" xfId="2" applyNumberFormat="1" applyFont="1" applyFill="1" applyBorder="1" applyAlignment="1">
      <alignment horizontal="center" vertical="center"/>
    </xf>
    <xf numFmtId="179" fontId="13" fillId="17" borderId="1" xfId="7" applyNumberFormat="1" applyFont="1" applyFill="1" applyBorder="1" applyAlignment="1">
      <alignment horizontal="center" vertical="center"/>
    </xf>
    <xf numFmtId="179" fontId="5" fillId="17" borderId="1" xfId="0" applyNumberFormat="1" applyFont="1" applyFill="1" applyBorder="1" applyAlignment="1">
      <alignment horizontal="center" vertical="center"/>
    </xf>
    <xf numFmtId="179" fontId="0" fillId="17" borderId="1" xfId="0" applyNumberFormat="1" applyFill="1" applyBorder="1"/>
    <xf numFmtId="179" fontId="5" fillId="17" borderId="2" xfId="0" applyNumberFormat="1" applyFont="1" applyFill="1" applyBorder="1" applyAlignment="1">
      <alignment horizontal="center" vertical="center"/>
    </xf>
    <xf numFmtId="0" fontId="0" fillId="18" borderId="0" xfId="0" applyFill="1"/>
    <xf numFmtId="0" fontId="8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08" fontId="0" fillId="0" borderId="0" xfId="1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79" fontId="1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83" fontId="15" fillId="0" borderId="1" xfId="0" applyNumberFormat="1" applyFont="1" applyBorder="1" applyAlignment="1">
      <alignment horizontal="center" vertical="center" wrapText="1"/>
    </xf>
    <xf numFmtId="179" fontId="6" fillId="0" borderId="1" xfId="2" applyNumberFormat="1" applyFont="1" applyBorder="1" applyAlignment="1">
      <alignment horizontal="center" vertical="center"/>
    </xf>
    <xf numFmtId="182" fontId="6" fillId="0" borderId="1" xfId="2" applyFont="1" applyBorder="1" applyAlignment="1">
      <alignment horizontal="center" vertical="center" wrapText="1"/>
    </xf>
    <xf numFmtId="38" fontId="5" fillId="0" borderId="1" xfId="0" applyNumberFormat="1" applyFont="1" applyBorder="1" applyAlignment="1">
      <alignment horizontal="center" vertical="center"/>
    </xf>
    <xf numFmtId="38" fontId="15" fillId="0" borderId="3" xfId="0" applyNumberFormat="1" applyFont="1" applyBorder="1" applyAlignment="1">
      <alignment horizontal="center" vertical="center"/>
    </xf>
    <xf numFmtId="183" fontId="5" fillId="0" borderId="1" xfId="3" applyNumberFormat="1" applyFont="1" applyBorder="1" applyAlignment="1">
      <alignment horizontal="center" vertical="center"/>
    </xf>
    <xf numFmtId="207" fontId="5" fillId="0" borderId="1" xfId="0" applyNumberFormat="1" applyFont="1" applyBorder="1" applyAlignment="1">
      <alignment horizontal="center" vertical="center"/>
    </xf>
    <xf numFmtId="0" fontId="50" fillId="19" borderId="0" xfId="0" applyFont="1" applyFill="1" applyAlignment="1">
      <alignment horizontal="center"/>
    </xf>
    <xf numFmtId="0" fontId="15" fillId="1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19" borderId="6" xfId="0" applyFont="1" applyFill="1" applyBorder="1" applyAlignment="1">
      <alignment horizontal="center"/>
    </xf>
    <xf numFmtId="0" fontId="50" fillId="19" borderId="6" xfId="0" applyFont="1" applyFill="1" applyBorder="1" applyAlignment="1">
      <alignment horizontal="center"/>
    </xf>
    <xf numFmtId="3" fontId="15" fillId="19" borderId="6" xfId="0" applyNumberFormat="1" applyFont="1" applyFill="1" applyBorder="1" applyAlignment="1">
      <alignment horizontal="center"/>
    </xf>
    <xf numFmtId="0" fontId="15" fillId="19" borderId="32" xfId="0" applyFont="1" applyFill="1" applyBorder="1" applyAlignment="1">
      <alignment horizontal="center"/>
    </xf>
    <xf numFmtId="0" fontId="6" fillId="0" borderId="32" xfId="0" applyFont="1" applyBorder="1" applyAlignment="1">
      <alignment horizontal="center" wrapText="1"/>
    </xf>
    <xf numFmtId="0" fontId="6" fillId="19" borderId="32" xfId="0" applyFont="1" applyFill="1" applyBorder="1" applyAlignment="1">
      <alignment horizontal="center"/>
    </xf>
    <xf numFmtId="0" fontId="50" fillId="19" borderId="32" xfId="0" applyFont="1" applyFill="1" applyBorder="1" applyAlignment="1">
      <alignment horizontal="center"/>
    </xf>
    <xf numFmtId="0" fontId="15" fillId="0" borderId="32" xfId="0" applyFont="1" applyBorder="1" applyAlignment="1">
      <alignment horizontal="center"/>
    </xf>
    <xf numFmtId="3" fontId="15" fillId="19" borderId="32" xfId="0" applyNumberFormat="1" applyFont="1" applyFill="1" applyBorder="1" applyAlignment="1">
      <alignment horizontal="center"/>
    </xf>
    <xf numFmtId="0" fontId="51" fillId="19" borderId="32" xfId="0" applyFont="1" applyFill="1" applyBorder="1" applyAlignment="1">
      <alignment horizontal="center"/>
    </xf>
    <xf numFmtId="3" fontId="26" fillId="19" borderId="32" xfId="0" applyNumberFormat="1" applyFont="1" applyFill="1" applyBorder="1" applyAlignment="1">
      <alignment horizontal="center"/>
    </xf>
    <xf numFmtId="0" fontId="15" fillId="19" borderId="0" xfId="0" applyFont="1" applyFill="1" applyAlignment="1">
      <alignment horizontal="center"/>
    </xf>
    <xf numFmtId="0" fontId="15" fillId="0" borderId="32" xfId="0" applyFont="1" applyBorder="1" applyAlignment="1">
      <alignment horizontal="center" wrapText="1"/>
    </xf>
    <xf numFmtId="3" fontId="15" fillId="19" borderId="1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3" fontId="15" fillId="19" borderId="6" xfId="0" applyNumberFormat="1" applyFont="1" applyFill="1" applyBorder="1" applyAlignment="1">
      <alignment horizontal="center" vertical="center"/>
    </xf>
    <xf numFmtId="3" fontId="15" fillId="19" borderId="32" xfId="0" applyNumberFormat="1" applyFont="1" applyFill="1" applyBorder="1" applyAlignment="1">
      <alignment horizontal="center" vertical="center"/>
    </xf>
    <xf numFmtId="0" fontId="15" fillId="19" borderId="32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52" fillId="5" borderId="1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52" fillId="21" borderId="1" xfId="0" applyFont="1" applyFill="1" applyBorder="1" applyAlignment="1">
      <alignment horizontal="center"/>
    </xf>
    <xf numFmtId="210" fontId="15" fillId="19" borderId="4" xfId="0" applyNumberFormat="1" applyFont="1" applyFill="1" applyBorder="1" applyAlignment="1">
      <alignment horizontal="center"/>
    </xf>
    <xf numFmtId="0" fontId="3" fillId="22" borderId="1" xfId="0" applyFont="1" applyFill="1" applyBorder="1" applyAlignment="1" applyProtection="1">
      <alignment horizontal="center" vertical="center"/>
      <protection locked="0"/>
    </xf>
    <xf numFmtId="0" fontId="3" fillId="22" borderId="1" xfId="0" applyFont="1" applyFill="1" applyBorder="1" applyAlignment="1" applyProtection="1">
      <alignment horizontal="center" vertical="center" wrapText="1"/>
      <protection locked="0"/>
    </xf>
    <xf numFmtId="0" fontId="53" fillId="2" borderId="1" xfId="1" applyNumberFormat="1" applyFont="1" applyFill="1" applyBorder="1" applyAlignment="1">
      <alignment horizontal="center" vertical="center"/>
    </xf>
    <xf numFmtId="181" fontId="0" fillId="2" borderId="0" xfId="1" applyNumberFormat="1" applyFont="1" applyFill="1" applyAlignment="1" applyProtection="1">
      <alignment horizontal="center"/>
      <protection locked="0"/>
    </xf>
    <xf numFmtId="0" fontId="53" fillId="19" borderId="32" xfId="0" applyFont="1" applyFill="1" applyBorder="1" applyAlignment="1">
      <alignment horizontal="center"/>
    </xf>
    <xf numFmtId="3" fontId="54" fillId="19" borderId="32" xfId="0" applyNumberFormat="1" applyFont="1" applyFill="1" applyBorder="1" applyAlignment="1">
      <alignment horizontal="center"/>
    </xf>
    <xf numFmtId="3" fontId="53" fillId="19" borderId="32" xfId="0" applyNumberFormat="1" applyFont="1" applyFill="1" applyBorder="1" applyAlignment="1">
      <alignment horizontal="center"/>
    </xf>
    <xf numFmtId="0" fontId="53" fillId="2" borderId="0" xfId="0" applyFont="1" applyFill="1" applyProtection="1">
      <protection locked="0"/>
    </xf>
    <xf numFmtId="0" fontId="53" fillId="2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 applyProtection="1">
      <alignment horizontal="center" vertical="center"/>
      <protection locked="0"/>
    </xf>
    <xf numFmtId="0" fontId="53" fillId="0" borderId="1" xfId="4" applyNumberFormat="1" applyFont="1" applyBorder="1" applyAlignment="1" applyProtection="1">
      <alignment horizontal="center" vertical="center" wrapText="1"/>
      <protection locked="0"/>
    </xf>
    <xf numFmtId="183" fontId="53" fillId="2" borderId="1" xfId="0" applyNumberFormat="1" applyFont="1" applyFill="1" applyBorder="1" applyAlignment="1">
      <alignment horizontal="center" vertical="center"/>
    </xf>
    <xf numFmtId="14" fontId="53" fillId="2" borderId="1" xfId="2" applyNumberFormat="1" applyFont="1" applyFill="1" applyBorder="1" applyAlignment="1" applyProtection="1">
      <alignment horizontal="center"/>
      <protection locked="0"/>
    </xf>
    <xf numFmtId="1" fontId="53" fillId="2" borderId="1" xfId="2" applyNumberFormat="1" applyFont="1" applyFill="1" applyBorder="1" applyAlignment="1" applyProtection="1">
      <alignment horizontal="center"/>
      <protection locked="0"/>
    </xf>
    <xf numFmtId="0" fontId="53" fillId="0" borderId="4" xfId="0" applyFont="1" applyBorder="1" applyAlignment="1">
      <alignment horizontal="center"/>
    </xf>
    <xf numFmtId="210" fontId="53" fillId="19" borderId="4" xfId="0" applyNumberFormat="1" applyFont="1" applyFill="1" applyBorder="1" applyAlignment="1">
      <alignment horizontal="center"/>
    </xf>
    <xf numFmtId="1" fontId="55" fillId="2" borderId="1" xfId="0" applyNumberFormat="1" applyFont="1" applyFill="1" applyBorder="1" applyProtection="1">
      <protection locked="0"/>
    </xf>
    <xf numFmtId="38" fontId="53" fillId="2" borderId="1" xfId="1" applyNumberFormat="1" applyFont="1" applyFill="1" applyBorder="1" applyAlignment="1">
      <alignment horizontal="center" vertical="center"/>
    </xf>
    <xf numFmtId="181" fontId="53" fillId="2" borderId="1" xfId="1" applyNumberFormat="1" applyFont="1" applyFill="1" applyBorder="1" applyAlignment="1" applyProtection="1">
      <alignment horizontal="center" vertical="center"/>
      <protection locked="0"/>
    </xf>
    <xf numFmtId="178" fontId="53" fillId="2" borderId="1" xfId="1" applyFont="1" applyFill="1" applyBorder="1" applyAlignment="1">
      <alignment horizontal="center" vertical="center"/>
    </xf>
    <xf numFmtId="184" fontId="53" fillId="2" borderId="1" xfId="1" applyNumberFormat="1" applyFont="1" applyFill="1" applyBorder="1" applyAlignment="1" applyProtection="1">
      <alignment horizontal="center" vertical="center"/>
      <protection locked="0"/>
    </xf>
    <xf numFmtId="184" fontId="53" fillId="2" borderId="1" xfId="0" applyNumberFormat="1" applyFont="1" applyFill="1" applyBorder="1" applyAlignment="1" applyProtection="1">
      <alignment horizontal="center" vertical="center"/>
      <protection locked="0"/>
    </xf>
    <xf numFmtId="0" fontId="53" fillId="2" borderId="0" xfId="0" applyFont="1" applyFill="1" applyAlignment="1" applyProtection="1">
      <alignment horizontal="center" vertical="center"/>
      <protection locked="0"/>
    </xf>
    <xf numFmtId="186" fontId="53" fillId="0" borderId="1" xfId="4" applyNumberFormat="1" applyFont="1" applyBorder="1" applyAlignment="1" applyProtection="1">
      <alignment horizontal="center" vertical="center" wrapText="1"/>
      <protection locked="0"/>
    </xf>
    <xf numFmtId="0" fontId="3" fillId="23" borderId="1" xfId="0" applyFont="1" applyFill="1" applyBorder="1" applyAlignment="1" applyProtection="1">
      <alignment horizontal="center" vertical="center" wrapText="1"/>
      <protection hidden="1"/>
    </xf>
    <xf numFmtId="211" fontId="0" fillId="2" borderId="0" xfId="0" applyNumberFormat="1" applyFill="1" applyProtection="1">
      <protection locked="0"/>
    </xf>
    <xf numFmtId="211" fontId="0" fillId="2" borderId="0" xfId="0" applyNumberFormat="1" applyFill="1" applyAlignment="1" applyProtection="1">
      <alignment horizontal="center" vertical="center"/>
      <protection locked="0"/>
    </xf>
    <xf numFmtId="21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211" fontId="3" fillId="17" borderId="1" xfId="0" applyNumberFormat="1" applyFont="1" applyFill="1" applyBorder="1" applyAlignment="1" applyProtection="1">
      <alignment horizontal="center" vertical="center" wrapText="1"/>
      <protection hidden="1"/>
    </xf>
    <xf numFmtId="211" fontId="3" fillId="16" borderId="1" xfId="0" applyNumberFormat="1" applyFont="1" applyFill="1" applyBorder="1" applyAlignment="1" applyProtection="1">
      <alignment horizontal="center" vertical="center" wrapText="1"/>
      <protection hidden="1"/>
    </xf>
    <xf numFmtId="211" fontId="5" fillId="0" borderId="1" xfId="0" applyNumberFormat="1" applyFont="1" applyBorder="1" applyAlignment="1">
      <alignment horizontal="center" vertical="center"/>
    </xf>
    <xf numFmtId="211" fontId="5" fillId="0" borderId="1" xfId="0" applyNumberFormat="1" applyFont="1" applyBorder="1" applyAlignment="1" applyProtection="1">
      <alignment horizontal="center" vertical="center"/>
      <protection locked="0"/>
    </xf>
    <xf numFmtId="211" fontId="5" fillId="2" borderId="1" xfId="0" applyNumberFormat="1" applyFont="1" applyFill="1" applyBorder="1" applyAlignment="1" applyProtection="1">
      <alignment horizontal="center" vertical="center"/>
      <protection locked="0"/>
    </xf>
    <xf numFmtId="211" fontId="53" fillId="2" borderId="1" xfId="0" applyNumberFormat="1" applyFont="1" applyFill="1" applyBorder="1" applyAlignment="1" applyProtection="1">
      <alignment horizontal="center" vertical="center"/>
      <protection locked="0"/>
    </xf>
    <xf numFmtId="211" fontId="53" fillId="0" borderId="1" xfId="0" applyNumberFormat="1" applyFont="1" applyBorder="1" applyAlignment="1" applyProtection="1">
      <alignment horizontal="center" vertical="center"/>
      <protection locked="0"/>
    </xf>
    <xf numFmtId="211" fontId="6" fillId="0" borderId="1" xfId="0" applyNumberFormat="1" applyFont="1" applyBorder="1" applyAlignment="1">
      <alignment horizontal="center" vertical="center"/>
    </xf>
    <xf numFmtId="211" fontId="6" fillId="0" borderId="1" xfId="0" applyNumberFormat="1" applyFont="1" applyBorder="1" applyAlignment="1" applyProtection="1">
      <alignment horizontal="center" vertical="center"/>
      <protection locked="0"/>
    </xf>
    <xf numFmtId="211" fontId="15" fillId="0" borderId="6" xfId="0" applyNumberFormat="1" applyFont="1" applyBorder="1" applyAlignment="1">
      <alignment horizontal="center"/>
    </xf>
    <xf numFmtId="211" fontId="15" fillId="0" borderId="6" xfId="0" applyNumberFormat="1" applyFont="1" applyBorder="1" applyAlignment="1">
      <alignment horizontal="center" vertical="center"/>
    </xf>
    <xf numFmtId="211" fontId="15" fillId="0" borderId="32" xfId="0" applyNumberFormat="1" applyFont="1" applyBorder="1" applyAlignment="1">
      <alignment horizontal="center"/>
    </xf>
    <xf numFmtId="211" fontId="15" fillId="0" borderId="32" xfId="0" applyNumberFormat="1" applyFont="1" applyBorder="1" applyAlignment="1">
      <alignment horizontal="center" vertical="center"/>
    </xf>
    <xf numFmtId="176" fontId="29" fillId="0" borderId="0" xfId="0" applyNumberFormat="1" applyFont="1" applyProtection="1">
      <protection locked="0"/>
    </xf>
    <xf numFmtId="17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Border="1" applyAlignment="1" applyProtection="1">
      <alignment horizontal="center" vertical="center"/>
      <protection locked="0"/>
    </xf>
    <xf numFmtId="176" fontId="53" fillId="0" borderId="1" xfId="0" applyNumberFormat="1" applyFont="1" applyBorder="1" applyAlignment="1" applyProtection="1">
      <alignment horizontal="center" vertical="center"/>
      <protection locked="0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176" fontId="33" fillId="0" borderId="1" xfId="0" applyNumberFormat="1" applyFont="1" applyBorder="1" applyAlignment="1" applyProtection="1">
      <alignment horizontal="center" vertical="center"/>
      <protection locked="0"/>
    </xf>
    <xf numFmtId="176" fontId="57" fillId="0" borderId="1" xfId="0" applyNumberFormat="1" applyFont="1" applyBorder="1" applyAlignment="1" applyProtection="1">
      <alignment horizontal="center" vertical="center"/>
      <protection locked="0"/>
    </xf>
    <xf numFmtId="176" fontId="15" fillId="20" borderId="6" xfId="0" applyNumberFormat="1" applyFont="1" applyFill="1" applyBorder="1" applyAlignment="1">
      <alignment horizontal="center"/>
    </xf>
    <xf numFmtId="176" fontId="15" fillId="20" borderId="32" xfId="0" applyNumberFormat="1" applyFont="1" applyFill="1" applyBorder="1" applyAlignment="1">
      <alignment horizontal="center"/>
    </xf>
    <xf numFmtId="176" fontId="15" fillId="0" borderId="32" xfId="0" applyNumberFormat="1" applyFont="1" applyBorder="1" applyAlignment="1">
      <alignment horizontal="center"/>
    </xf>
    <xf numFmtId="177" fontId="0" fillId="2" borderId="0" xfId="0" applyNumberFormat="1" applyFill="1" applyProtection="1">
      <protection locked="0"/>
    </xf>
    <xf numFmtId="177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7" fontId="5" fillId="0" borderId="1" xfId="0" applyNumberFormat="1" applyFont="1" applyBorder="1" applyAlignment="1" applyProtection="1">
      <alignment horizontal="center" vertical="center"/>
      <protection locked="0"/>
    </xf>
    <xf numFmtId="177" fontId="5" fillId="2" borderId="1" xfId="0" applyNumberFormat="1" applyFont="1" applyFill="1" applyBorder="1" applyAlignment="1" applyProtection="1">
      <alignment horizontal="center" vertical="center"/>
      <protection locked="0"/>
    </xf>
    <xf numFmtId="177" fontId="53" fillId="2" borderId="1" xfId="0" applyNumberFormat="1" applyFont="1" applyFill="1" applyBorder="1" applyAlignment="1" applyProtection="1">
      <alignment horizontal="center" vertical="center"/>
      <protection locked="0"/>
    </xf>
    <xf numFmtId="177" fontId="6" fillId="0" borderId="1" xfId="0" applyNumberFormat="1" applyFont="1" applyBorder="1" applyAlignment="1" applyProtection="1">
      <alignment horizontal="center" vertical="center"/>
      <protection locked="0"/>
    </xf>
    <xf numFmtId="212" fontId="5" fillId="2" borderId="1" xfId="0" applyNumberFormat="1" applyFont="1" applyFill="1" applyBorder="1" applyAlignment="1" applyProtection="1">
      <alignment horizontal="center" vertical="center"/>
      <protection locked="0"/>
    </xf>
    <xf numFmtId="212" fontId="5" fillId="2" borderId="1" xfId="0" applyNumberFormat="1" applyFont="1" applyFill="1" applyBorder="1" applyAlignment="1">
      <alignment horizontal="right" vertical="center"/>
    </xf>
    <xf numFmtId="211" fontId="0" fillId="2" borderId="0" xfId="0" applyNumberFormat="1" applyFill="1" applyAlignment="1" applyProtection="1">
      <alignment horizontal="right"/>
      <protection locked="0"/>
    </xf>
    <xf numFmtId="211" fontId="5" fillId="0" borderId="1" xfId="0" applyNumberFormat="1" applyFont="1" applyBorder="1" applyAlignment="1">
      <alignment horizontal="right" vertical="center"/>
    </xf>
    <xf numFmtId="211" fontId="5" fillId="2" borderId="1" xfId="0" applyNumberFormat="1" applyFont="1" applyFill="1" applyBorder="1" applyAlignment="1">
      <alignment horizontal="right" vertical="center"/>
    </xf>
    <xf numFmtId="211" fontId="53" fillId="2" borderId="1" xfId="0" applyNumberFormat="1" applyFont="1" applyFill="1" applyBorder="1" applyAlignment="1">
      <alignment horizontal="right" vertical="center"/>
    </xf>
    <xf numFmtId="212" fontId="15" fillId="19" borderId="32" xfId="0" applyNumberFormat="1" applyFont="1" applyFill="1" applyBorder="1" applyAlignment="1">
      <alignment horizontal="right"/>
    </xf>
    <xf numFmtId="212" fontId="15" fillId="19" borderId="6" xfId="0" applyNumberFormat="1" applyFont="1" applyFill="1" applyBorder="1" applyAlignment="1">
      <alignment horizontal="right"/>
    </xf>
    <xf numFmtId="211" fontId="5" fillId="0" borderId="1" xfId="0" applyNumberFormat="1" applyFont="1" applyBorder="1" applyAlignment="1" applyProtection="1">
      <alignment horizontal="right" vertical="center"/>
      <protection locked="0"/>
    </xf>
    <xf numFmtId="211" fontId="5" fillId="2" borderId="1" xfId="0" applyNumberFormat="1" applyFont="1" applyFill="1" applyBorder="1" applyAlignment="1" applyProtection="1">
      <alignment horizontal="right" vertical="center"/>
      <protection locked="0"/>
    </xf>
    <xf numFmtId="211" fontId="53" fillId="2" borderId="1" xfId="0" applyNumberFormat="1" applyFont="1" applyFill="1" applyBorder="1" applyAlignment="1" applyProtection="1">
      <alignment horizontal="right" vertical="center"/>
      <protection locked="0"/>
    </xf>
    <xf numFmtId="212" fontId="5" fillId="2" borderId="1" xfId="0" applyNumberFormat="1" applyFont="1" applyFill="1" applyBorder="1" applyAlignment="1" applyProtection="1">
      <alignment horizontal="right" vertical="center"/>
      <protection locked="0"/>
    </xf>
    <xf numFmtId="176" fontId="29" fillId="7" borderId="0" xfId="0" applyNumberFormat="1" applyFont="1" applyFill="1" applyProtection="1">
      <protection locked="0"/>
    </xf>
    <xf numFmtId="177" fontId="0" fillId="0" borderId="0" xfId="0" applyNumberFormat="1" applyProtection="1">
      <protection locked="0"/>
    </xf>
    <xf numFmtId="181" fontId="0" fillId="0" borderId="0" xfId="1" applyNumberFormat="1" applyFont="1" applyFill="1" applyAlignment="1" applyProtection="1">
      <alignment horizontal="center" vertical="center"/>
      <protection locked="0"/>
    </xf>
    <xf numFmtId="176" fontId="15" fillId="0" borderId="6" xfId="0" applyNumberFormat="1" applyFont="1" applyBorder="1" applyAlignment="1">
      <alignment horizontal="center"/>
    </xf>
    <xf numFmtId="0" fontId="5" fillId="0" borderId="1" xfId="4" applyNumberFormat="1" applyFont="1" applyBorder="1" applyAlignment="1" applyProtection="1">
      <alignment horizontal="center" vertical="center" wrapText="1"/>
      <protection locked="0"/>
    </xf>
    <xf numFmtId="14" fontId="5" fillId="0" borderId="1" xfId="6" applyNumberFormat="1" applyFont="1" applyFill="1" applyBorder="1" applyAlignment="1" applyProtection="1">
      <alignment horizontal="center" vertical="center" wrapText="1"/>
      <protection locked="0"/>
    </xf>
    <xf numFmtId="179" fontId="5" fillId="0" borderId="1" xfId="7" applyNumberFormat="1" applyFont="1" applyBorder="1" applyAlignment="1">
      <alignment horizontal="center" vertical="center"/>
    </xf>
    <xf numFmtId="14" fontId="0" fillId="0" borderId="0" xfId="0" applyNumberFormat="1"/>
    <xf numFmtId="0" fontId="58" fillId="0" borderId="0" xfId="0" applyFont="1"/>
    <xf numFmtId="0" fontId="15" fillId="7" borderId="1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center"/>
    </xf>
    <xf numFmtId="0" fontId="15" fillId="24" borderId="4" xfId="0" applyFont="1" applyFill="1" applyBorder="1" applyAlignment="1">
      <alignment horizontal="center"/>
    </xf>
    <xf numFmtId="3" fontId="59" fillId="2" borderId="1" xfId="0" applyNumberFormat="1" applyFont="1" applyFill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3" fontId="53" fillId="0" borderId="32" xfId="0" applyNumberFormat="1" applyFont="1" applyBorder="1" applyAlignment="1">
      <alignment horizontal="center"/>
    </xf>
    <xf numFmtId="3" fontId="15" fillId="0" borderId="32" xfId="0" applyNumberFormat="1" applyFont="1" applyBorder="1" applyAlignment="1">
      <alignment horizontal="center"/>
    </xf>
    <xf numFmtId="179" fontId="5" fillId="2" borderId="1" xfId="0" applyNumberFormat="1" applyFont="1" applyFill="1" applyBorder="1" applyAlignment="1">
      <alignment horizontal="center" vertical="center"/>
    </xf>
    <xf numFmtId="179" fontId="5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left" vertical="center" wrapText="1"/>
    </xf>
    <xf numFmtId="0" fontId="5" fillId="25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left"/>
    </xf>
    <xf numFmtId="0" fontId="15" fillId="26" borderId="6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wrapText="1"/>
    </xf>
    <xf numFmtId="183" fontId="5" fillId="2" borderId="1" xfId="0" applyNumberFormat="1" applyFont="1" applyFill="1" applyBorder="1" applyAlignment="1">
      <alignment horizontal="left" vertical="center"/>
    </xf>
    <xf numFmtId="0" fontId="6" fillId="26" borderId="6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210" fontId="15" fillId="26" borderId="4" xfId="0" applyNumberFormat="1" applyFont="1" applyFill="1" applyBorder="1" applyAlignment="1">
      <alignment horizontal="left"/>
    </xf>
    <xf numFmtId="0" fontId="60" fillId="26" borderId="6" xfId="0" applyFont="1" applyFill="1" applyBorder="1" applyAlignment="1">
      <alignment horizontal="left"/>
    </xf>
    <xf numFmtId="180" fontId="5" fillId="2" borderId="1" xfId="0" applyNumberFormat="1" applyFont="1" applyFill="1" applyBorder="1" applyAlignment="1" applyProtection="1">
      <alignment horizontal="left" vertical="center"/>
      <protection locked="0"/>
    </xf>
    <xf numFmtId="212" fontId="5" fillId="2" borderId="1" xfId="0" applyNumberFormat="1" applyFont="1" applyFill="1" applyBorder="1" applyAlignment="1" applyProtection="1">
      <alignment horizontal="left" vertical="center"/>
      <protection locked="0"/>
    </xf>
    <xf numFmtId="37" fontId="5" fillId="2" borderId="1" xfId="0" applyNumberFormat="1" applyFont="1" applyFill="1" applyBorder="1" applyAlignment="1" applyProtection="1">
      <alignment horizontal="left" vertical="center"/>
      <protection locked="0"/>
    </xf>
    <xf numFmtId="3" fontId="59" fillId="2" borderId="1" xfId="0" applyNumberFormat="1" applyFont="1" applyFill="1" applyBorder="1" applyAlignment="1">
      <alignment horizontal="left"/>
    </xf>
    <xf numFmtId="3" fontId="15" fillId="26" borderId="6" xfId="0" applyNumberFormat="1" applyFont="1" applyFill="1" applyBorder="1" applyAlignment="1">
      <alignment horizontal="left"/>
    </xf>
    <xf numFmtId="176" fontId="15" fillId="2" borderId="6" xfId="0" applyNumberFormat="1" applyFont="1" applyFill="1" applyBorder="1" applyAlignment="1">
      <alignment horizontal="left"/>
    </xf>
    <xf numFmtId="176" fontId="5" fillId="2" borderId="1" xfId="0" applyNumberFormat="1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>
      <alignment horizontal="left" vertical="center"/>
    </xf>
    <xf numFmtId="177" fontId="5" fillId="2" borderId="1" xfId="0" applyNumberFormat="1" applyFont="1" applyFill="1" applyBorder="1" applyAlignment="1" applyProtection="1">
      <alignment horizontal="left" vertical="center"/>
      <protection locked="0"/>
    </xf>
    <xf numFmtId="181" fontId="5" fillId="2" borderId="1" xfId="1" applyNumberFormat="1" applyFont="1" applyFill="1" applyBorder="1" applyAlignment="1" applyProtection="1">
      <alignment horizontal="left" vertical="center"/>
      <protection locked="0"/>
    </xf>
    <xf numFmtId="0" fontId="15" fillId="26" borderId="32" xfId="0" applyFont="1" applyFill="1" applyBorder="1" applyAlignment="1">
      <alignment horizontal="left"/>
    </xf>
    <xf numFmtId="0" fontId="6" fillId="2" borderId="32" xfId="0" applyFont="1" applyFill="1" applyBorder="1" applyAlignment="1">
      <alignment horizontal="left" wrapText="1"/>
    </xf>
    <xf numFmtId="0" fontId="6" fillId="26" borderId="32" xfId="0" applyFont="1" applyFill="1" applyBorder="1" applyAlignment="1">
      <alignment horizontal="left"/>
    </xf>
    <xf numFmtId="0" fontId="60" fillId="26" borderId="32" xfId="0" applyFont="1" applyFill="1" applyBorder="1" applyAlignment="1">
      <alignment horizontal="left"/>
    </xf>
    <xf numFmtId="3" fontId="15" fillId="26" borderId="32" xfId="0" applyNumberFormat="1" applyFont="1" applyFill="1" applyBorder="1" applyAlignment="1">
      <alignment horizontal="left"/>
    </xf>
    <xf numFmtId="176" fontId="15" fillId="2" borderId="32" xfId="0" applyNumberFormat="1" applyFont="1" applyFill="1" applyBorder="1" applyAlignment="1">
      <alignment horizontal="left"/>
    </xf>
    <xf numFmtId="0" fontId="59" fillId="2" borderId="1" xfId="0" applyFont="1" applyFill="1" applyBorder="1" applyAlignment="1">
      <alignment horizontal="left"/>
    </xf>
    <xf numFmtId="0" fontId="51" fillId="26" borderId="32" xfId="0" applyFont="1" applyFill="1" applyBorder="1" applyAlignment="1">
      <alignment horizontal="left"/>
    </xf>
    <xf numFmtId="0" fontId="53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83" fontId="53" fillId="0" borderId="1" xfId="0" applyNumberFormat="1" applyFont="1" applyBorder="1" applyAlignment="1">
      <alignment horizontal="center" vertical="center"/>
    </xf>
    <xf numFmtId="14" fontId="53" fillId="0" borderId="1" xfId="0" applyNumberFormat="1" applyFont="1" applyBorder="1" applyAlignment="1">
      <alignment horizontal="center" vertical="center"/>
    </xf>
    <xf numFmtId="1" fontId="53" fillId="0" borderId="1" xfId="0" applyNumberFormat="1" applyFont="1" applyBorder="1" applyAlignment="1">
      <alignment horizontal="center" vertical="center"/>
    </xf>
    <xf numFmtId="3" fontId="53" fillId="0" borderId="1" xfId="0" applyNumberFormat="1" applyFont="1" applyBorder="1" applyAlignment="1" applyProtection="1">
      <alignment horizontal="center" vertical="center"/>
      <protection locked="0"/>
    </xf>
    <xf numFmtId="3" fontId="53" fillId="0" borderId="1" xfId="0" applyNumberFormat="1" applyFont="1" applyBorder="1" applyAlignment="1">
      <alignment horizontal="center" vertical="center"/>
    </xf>
    <xf numFmtId="14" fontId="53" fillId="0" borderId="1" xfId="6" applyNumberFormat="1" applyFont="1" applyFill="1" applyBorder="1" applyAlignment="1" applyProtection="1">
      <alignment horizontal="center" vertical="center" wrapText="1"/>
      <protection locked="0"/>
    </xf>
    <xf numFmtId="179" fontId="53" fillId="0" borderId="1" xfId="7" applyNumberFormat="1" applyFont="1" applyBorder="1" applyAlignment="1">
      <alignment horizontal="center" vertical="center"/>
    </xf>
    <xf numFmtId="179" fontId="53" fillId="2" borderId="1" xfId="0" applyNumberFormat="1" applyFont="1" applyFill="1" applyBorder="1" applyAlignment="1">
      <alignment horizontal="center" vertical="center"/>
    </xf>
    <xf numFmtId="0" fontId="53" fillId="25" borderId="0" xfId="0" applyFont="1" applyFill="1" applyAlignment="1">
      <alignment horizontal="center" vertical="center"/>
    </xf>
    <xf numFmtId="0" fontId="55" fillId="2" borderId="0" xfId="0" applyFont="1" applyFill="1"/>
    <xf numFmtId="0" fontId="15" fillId="26" borderId="32" xfId="0" applyFont="1" applyFill="1" applyBorder="1" applyAlignment="1">
      <alignment horizontal="center"/>
    </xf>
    <xf numFmtId="0" fontId="6" fillId="26" borderId="32" xfId="0" applyFont="1" applyFill="1" applyBorder="1" applyAlignment="1">
      <alignment horizontal="center"/>
    </xf>
    <xf numFmtId="0" fontId="6" fillId="26" borderId="6" xfId="0" applyFont="1" applyFill="1" applyBorder="1" applyAlignment="1">
      <alignment horizontal="center"/>
    </xf>
    <xf numFmtId="210" fontId="15" fillId="26" borderId="4" xfId="0" applyNumberFormat="1" applyFont="1" applyFill="1" applyBorder="1" applyAlignment="1">
      <alignment horizontal="center"/>
    </xf>
    <xf numFmtId="0" fontId="60" fillId="26" borderId="32" xfId="0" applyFont="1" applyFill="1" applyBorder="1" applyAlignment="1">
      <alignment horizontal="center"/>
    </xf>
    <xf numFmtId="180" fontId="5" fillId="2" borderId="1" xfId="0" applyNumberFormat="1" applyFont="1" applyFill="1" applyBorder="1" applyAlignment="1" applyProtection="1">
      <alignment horizontal="center" vertical="center"/>
      <protection locked="0"/>
    </xf>
    <xf numFmtId="37" fontId="5" fillId="2" borderId="1" xfId="0" applyNumberFormat="1" applyFont="1" applyFill="1" applyBorder="1" applyAlignment="1" applyProtection="1">
      <alignment horizontal="center" vertical="center"/>
      <protection locked="0"/>
    </xf>
    <xf numFmtId="3" fontId="15" fillId="26" borderId="32" xfId="0" applyNumberFormat="1" applyFont="1" applyFill="1" applyBorder="1" applyAlignment="1">
      <alignment horizontal="center"/>
    </xf>
    <xf numFmtId="176" fontId="15" fillId="2" borderId="32" xfId="0" applyNumberFormat="1" applyFont="1" applyFill="1" applyBorder="1" applyAlignment="1">
      <alignment horizontal="center"/>
    </xf>
    <xf numFmtId="176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1" fillId="26" borderId="32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 wrapText="1"/>
    </xf>
    <xf numFmtId="179" fontId="0" fillId="16" borderId="34" xfId="0" applyNumberFormat="1" applyFill="1" applyBorder="1" applyAlignment="1">
      <alignment horizontal="center" vertical="center"/>
    </xf>
    <xf numFmtId="196" fontId="38" fillId="14" borderId="29" xfId="18" applyNumberFormat="1" applyFont="1" applyFill="1" applyBorder="1" applyAlignment="1">
      <alignment horizontal="center" vertical="center"/>
    </xf>
    <xf numFmtId="196" fontId="38" fillId="14" borderId="28" xfId="18" applyNumberFormat="1" applyFont="1" applyFill="1" applyBorder="1" applyAlignment="1">
      <alignment horizontal="center" vertical="center"/>
    </xf>
    <xf numFmtId="196" fontId="38" fillId="14" borderId="30" xfId="18" applyNumberFormat="1" applyFont="1" applyFill="1" applyBorder="1" applyAlignment="1">
      <alignment horizontal="center" vertical="center"/>
    </xf>
    <xf numFmtId="0" fontId="25" fillId="0" borderId="5" xfId="23" applyFont="1" applyBorder="1" applyAlignment="1">
      <alignment horizontal="center" vertical="center" wrapText="1"/>
    </xf>
    <xf numFmtId="0" fontId="40" fillId="0" borderId="15" xfId="23" applyFont="1" applyBorder="1" applyAlignment="1">
      <alignment horizontal="center" vertical="center" wrapText="1"/>
    </xf>
    <xf numFmtId="0" fontId="40" fillId="0" borderId="16" xfId="23" applyFont="1" applyBorder="1" applyAlignment="1">
      <alignment horizontal="center" vertical="center" wrapText="1"/>
    </xf>
    <xf numFmtId="0" fontId="40" fillId="0" borderId="17" xfId="23" applyFont="1" applyBorder="1" applyAlignment="1">
      <alignment horizontal="center" vertical="center" wrapText="1"/>
    </xf>
    <xf numFmtId="0" fontId="25" fillId="0" borderId="27" xfId="23" applyFont="1" applyBorder="1" applyAlignment="1">
      <alignment horizontal="center" vertical="center"/>
    </xf>
    <xf numFmtId="0" fontId="40" fillId="0" borderId="6" xfId="23" applyFont="1" applyBorder="1" applyAlignment="1">
      <alignment horizontal="center" vertical="center" wrapText="1"/>
    </xf>
    <xf numFmtId="0" fontId="40" fillId="0" borderId="5" xfId="23" applyFont="1" applyBorder="1" applyAlignment="1">
      <alignment horizontal="center" vertical="center" wrapText="1"/>
    </xf>
    <xf numFmtId="0" fontId="40" fillId="0" borderId="1" xfId="23" applyFont="1" applyBorder="1" applyAlignment="1">
      <alignment horizontal="center" vertical="center" wrapText="1"/>
    </xf>
    <xf numFmtId="0" fontId="25" fillId="13" borderId="19" xfId="23" applyFont="1" applyFill="1" applyBorder="1" applyAlignment="1">
      <alignment horizontal="center" vertical="center"/>
    </xf>
    <xf numFmtId="0" fontId="25" fillId="13" borderId="6" xfId="23" applyFont="1" applyFill="1" applyBorder="1" applyAlignment="1">
      <alignment horizontal="center" vertical="center"/>
    </xf>
    <xf numFmtId="196" fontId="38" fillId="14" borderId="23" xfId="18" applyNumberFormat="1" applyFont="1" applyFill="1" applyBorder="1" applyAlignment="1">
      <alignment horizontal="center" vertical="center"/>
    </xf>
    <xf numFmtId="196" fontId="38" fillId="14" borderId="22" xfId="18" applyNumberFormat="1" applyFont="1" applyFill="1" applyBorder="1" applyAlignment="1">
      <alignment horizontal="center" vertical="center"/>
    </xf>
    <xf numFmtId="196" fontId="38" fillId="14" borderId="24" xfId="18" applyNumberFormat="1" applyFont="1" applyFill="1" applyBorder="1" applyAlignment="1">
      <alignment horizontal="center" vertical="center"/>
    </xf>
    <xf numFmtId="0" fontId="25" fillId="13" borderId="18" xfId="23" applyFont="1" applyFill="1" applyBorder="1" applyAlignment="1">
      <alignment horizontal="center" vertical="center"/>
    </xf>
    <xf numFmtId="0" fontId="25" fillId="13" borderId="32" xfId="23" applyFont="1" applyFill="1" applyBorder="1" applyAlignment="1">
      <alignment horizontal="center" vertical="center"/>
    </xf>
    <xf numFmtId="0" fontId="47" fillId="0" borderId="2" xfId="20" applyFont="1" applyBorder="1" applyAlignment="1">
      <alignment horizontal="center" vertical="center" wrapText="1"/>
    </xf>
    <xf numFmtId="0" fontId="47" fillId="0" borderId="33" xfId="20" applyFont="1" applyBorder="1" applyAlignment="1">
      <alignment horizontal="center" vertical="center" wrapText="1"/>
    </xf>
    <xf numFmtId="182" fontId="46" fillId="0" borderId="2" xfId="2" applyFont="1" applyBorder="1" applyAlignment="1">
      <alignment horizontal="center" vertical="center" wrapText="1"/>
    </xf>
    <xf numFmtId="182" fontId="46" fillId="0" borderId="33" xfId="2" applyFont="1" applyBorder="1" applyAlignment="1">
      <alignment horizontal="center" vertical="center" wrapText="1"/>
    </xf>
    <xf numFmtId="179" fontId="13" fillId="0" borderId="2" xfId="7" applyNumberFormat="1" applyFont="1" applyBorder="1" applyAlignment="1">
      <alignment horizontal="center" vertical="center" wrapText="1"/>
    </xf>
    <xf numFmtId="179" fontId="13" fillId="0" borderId="4" xfId="7" applyNumberFormat="1" applyFont="1" applyBorder="1" applyAlignment="1">
      <alignment horizontal="center" vertical="center" wrapText="1"/>
    </xf>
    <xf numFmtId="179" fontId="5" fillId="2" borderId="2" xfId="0" applyNumberFormat="1" applyFont="1" applyFill="1" applyBorder="1" applyAlignment="1">
      <alignment horizontal="center" vertical="center" wrapText="1"/>
    </xf>
    <xf numFmtId="179" fontId="5" fillId="2" borderId="4" xfId="0" applyNumberFormat="1" applyFont="1" applyFill="1" applyBorder="1" applyAlignment="1">
      <alignment horizontal="center" vertical="center" wrapText="1"/>
    </xf>
  </cellXfs>
  <cellStyles count="29">
    <cellStyle name="Comma 2" xfId="15"/>
    <cellStyle name="Comma 2 2" xfId="11"/>
    <cellStyle name="Comma 3" xfId="13"/>
    <cellStyle name="Normal 2" xfId="9"/>
    <cellStyle name="Normal 3" xfId="16"/>
    <cellStyle name="Normal 4" xfId="12"/>
    <cellStyle name="Normal 5" xfId="26"/>
    <cellStyle name="Normal 6" xfId="28"/>
    <cellStyle name="Percent 2" xfId="14"/>
    <cellStyle name="Standaard_amowc" xfId="17"/>
    <cellStyle name="百分比" xfId="27" builtinId="5"/>
    <cellStyle name="常规" xfId="0" builtinId="0"/>
    <cellStyle name="常规 2" xfId="10"/>
    <cellStyle name="常规 2 2" xfId="20"/>
    <cellStyle name="常规 2 3" xfId="21"/>
    <cellStyle name="常规 2 4" xfId="19"/>
    <cellStyle name="常规 2 9" xfId="4"/>
    <cellStyle name="常规 3" xfId="2"/>
    <cellStyle name="常规 3 2" xfId="3"/>
    <cellStyle name="常规 3 2 2" xfId="7"/>
    <cellStyle name="常规 3 2 2 2" xfId="24"/>
    <cellStyle name="常规 3 2 3" xfId="8"/>
    <cellStyle name="常规 3 2 4" xfId="23"/>
    <cellStyle name="常规 3 3" xfId="22"/>
    <cellStyle name="常规 4 2" xfId="5"/>
    <cellStyle name="常规 4 2 2" xfId="25"/>
    <cellStyle name="千位分隔" xfId="1" builtinId="3"/>
    <cellStyle name="千位分隔 2" xfId="18"/>
    <cellStyle name="千位分隔 2 2 2" xfId="6"/>
  </cellStyles>
  <dxfs count="12">
    <dxf>
      <numFmt numFmtId="179" formatCode="_ [$¥-804]* #,##0_ ;_ [$¥-804]* \-#,##0_ ;_ [$¥-804]* &quot;-&quot;??_ ;_ @_ "/>
    </dxf>
    <dxf>
      <numFmt numFmtId="179" formatCode="_ [$¥-804]* #,##0_ ;_ [$¥-804]* \-#,##0_ ;_ [$¥-804]* &quot;-&quot;??_ ;_ @_ "/>
    </dxf>
    <dxf>
      <numFmt numFmtId="179" formatCode="_ [$¥-804]* #,##0_ ;_ [$¥-804]* \-#,##0_ ;_ [$¥-804]* &quot;-&quot;??_ ;_ @_ "/>
    </dxf>
    <dxf>
      <numFmt numFmtId="179" formatCode="_ [$¥-804]* #,##0_ ;_ [$¥-804]* \-#,##0_ ;_ [$¥-804]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9" formatCode="_ [$¥-804]* #,##0_ ;_ [$¥-804]* \-#,##0_ ;_ [$¥-804]* &quot;-&quot;??_ ;_ @_ "/>
    </dxf>
    <dxf>
      <numFmt numFmtId="179" formatCode="_ [$¥-804]* #,##0_ ;_ [$¥-804]* \-#,##0_ ;_ [$¥-804]* &quot;-&quot;??_ ;_ @_ "/>
    </dxf>
    <dxf>
      <numFmt numFmtId="179" formatCode="_ [$¥-804]* #,##0_ ;_ [$¥-804]* \-#,##0_ ;_ [$¥-804]* &quot;-&quot;??_ ;_ @_ "/>
    </dxf>
    <dxf>
      <numFmt numFmtId="213" formatCode="m/d/yyyy"/>
    </dxf>
    <dxf>
      <numFmt numFmtId="213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-3657600</xdr:rowOff>
    </xdr:from>
    <xdr:to>
      <xdr:col>0</xdr:col>
      <xdr:colOff>0</xdr:colOff>
      <xdr:row>0</xdr:row>
      <xdr:rowOff>-3657600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47625" y="-36576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319943</xdr:colOff>
      <xdr:row>644</xdr:row>
      <xdr:rowOff>161925</xdr:rowOff>
    </xdr:from>
    <xdr:to>
      <xdr:col>9</xdr:col>
      <xdr:colOff>423497</xdr:colOff>
      <xdr:row>650</xdr:row>
      <xdr:rowOff>134084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44B7EF-1AF4-464A-AAD5-57BEBC8BE78A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7368" y="3333750"/>
          <a:ext cx="4161204" cy="111515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644</xdr:row>
      <xdr:rowOff>95250</xdr:rowOff>
    </xdr:from>
    <xdr:to>
      <xdr:col>3</xdr:col>
      <xdr:colOff>1200150</xdr:colOff>
      <xdr:row>650</xdr:row>
      <xdr:rowOff>95251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6719FC9-4099-4490-A3EE-CF09DC08F483}"/>
            </a:ext>
            <a:ext uri="{147F2762-F138-4A5C-976F-8EAC2B608ADB}">
              <a16:predDERef xmlns:a16="http://schemas.microsoft.com/office/drawing/2014/main" pred="{0E44B7EF-1AF4-464A-AAD5-57BEBC8BE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3267075"/>
          <a:ext cx="4248150" cy="1143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287</xdr:row>
      <xdr:rowOff>76200</xdr:rowOff>
    </xdr:from>
    <xdr:to>
      <xdr:col>3</xdr:col>
      <xdr:colOff>1019176</xdr:colOff>
      <xdr:row>293</xdr:row>
      <xdr:rowOff>133349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11658600"/>
          <a:ext cx="4248150" cy="1143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19050</xdr:rowOff>
    </xdr:from>
    <xdr:to>
      <xdr:col>22</xdr:col>
      <xdr:colOff>352425</xdr:colOff>
      <xdr:row>5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FBF12A-185F-A8EA-AD3D-2B061BB11BA2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17350" y="1104900"/>
          <a:ext cx="35242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342900</xdr:colOff>
      <xdr:row>6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443908C-09A4-419B-97FF-D9D50A490AE1}"/>
            </a:ext>
            <a:ext uri="{147F2762-F138-4A5C-976F-8EAC2B608ADB}">
              <a16:predDERef xmlns:a16="http://schemas.microsoft.com/office/drawing/2014/main" pred="{3AFBF12A-185F-A8EA-AD3D-2B061BB11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17350" y="1266825"/>
          <a:ext cx="34290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7</xdr:row>
      <xdr:rowOff>0</xdr:rowOff>
    </xdr:from>
    <xdr:to>
      <xdr:col>22</xdr:col>
      <xdr:colOff>333375</xdr:colOff>
      <xdr:row>7</xdr:row>
      <xdr:rowOff>133350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65D8757-6A18-1BEB-AB2F-CEFD09508EE3}"/>
            </a:ext>
            <a:ext uri="{147F2762-F138-4A5C-976F-8EAC2B608ADB}">
              <a16:predDERef xmlns:a16="http://schemas.microsoft.com/office/drawing/2014/main" pred="{F443908C-09A4-419B-97FF-D9D50A49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26875" y="1447800"/>
          <a:ext cx="32385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8</xdr:row>
      <xdr:rowOff>9525</xdr:rowOff>
    </xdr:from>
    <xdr:to>
      <xdr:col>22</xdr:col>
      <xdr:colOff>333375</xdr:colOff>
      <xdr:row>8</xdr:row>
      <xdr:rowOff>133350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8E7F536-10A2-80FA-922B-520A80A5E9F4}"/>
            </a:ext>
            <a:ext uri="{147F2762-F138-4A5C-976F-8EAC2B608ADB}">
              <a16:predDERef xmlns:a16="http://schemas.microsoft.com/office/drawing/2014/main" pred="{C65D8757-6A18-1BEB-AB2F-CEFD09508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36400" y="1638300"/>
          <a:ext cx="3143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9</xdr:row>
      <xdr:rowOff>9525</xdr:rowOff>
    </xdr:from>
    <xdr:to>
      <xdr:col>22</xdr:col>
      <xdr:colOff>190500</xdr:colOff>
      <xdr:row>9</xdr:row>
      <xdr:rowOff>142875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EC8976B-DC1B-F811-4EEA-9D26C0ABAC19}"/>
            </a:ext>
            <a:ext uri="{147F2762-F138-4A5C-976F-8EAC2B608ADB}">
              <a16:predDERef xmlns:a16="http://schemas.microsoft.com/office/drawing/2014/main" pred="{68E7F536-10A2-80FA-922B-520A80A5E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45925" y="1819275"/>
          <a:ext cx="16192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10</xdr:row>
      <xdr:rowOff>9525</xdr:rowOff>
    </xdr:from>
    <xdr:to>
      <xdr:col>22</xdr:col>
      <xdr:colOff>381000</xdr:colOff>
      <xdr:row>10</xdr:row>
      <xdr:rowOff>104775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2016E0B-5656-EF6A-CC72-60F480AB581B}"/>
            </a:ext>
            <a:ext uri="{147F2762-F138-4A5C-976F-8EAC2B608ADB}">
              <a16:predDERef xmlns:a16="http://schemas.microsoft.com/office/drawing/2014/main" pred="{AEC8976B-DC1B-F811-4EEA-9D26C0ABA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36400" y="2000250"/>
          <a:ext cx="361950" cy="952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11</xdr:row>
      <xdr:rowOff>9525</xdr:rowOff>
    </xdr:from>
    <xdr:to>
      <xdr:col>22</xdr:col>
      <xdr:colOff>180975</xdr:colOff>
      <xdr:row>11</xdr:row>
      <xdr:rowOff>152400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33AB320-A81D-FD72-7F19-8B7FDD85DD52}"/>
            </a:ext>
            <a:ext uri="{147F2762-F138-4A5C-976F-8EAC2B608ADB}">
              <a16:predDERef xmlns:a16="http://schemas.microsoft.com/office/drawing/2014/main" pred="{D2016E0B-5656-EF6A-CC72-60F480AB5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45925" y="2181225"/>
          <a:ext cx="1524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12</xdr:row>
      <xdr:rowOff>19050</xdr:rowOff>
    </xdr:from>
    <xdr:to>
      <xdr:col>22</xdr:col>
      <xdr:colOff>190500</xdr:colOff>
      <xdr:row>12</xdr:row>
      <xdr:rowOff>123825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F023FBC-D0CB-2EFA-6A9B-2AE7C281FC59}"/>
            </a:ext>
            <a:ext uri="{147F2762-F138-4A5C-976F-8EAC2B608ADB}">
              <a16:predDERef xmlns:a16="http://schemas.microsoft.com/office/drawing/2014/main" pred="{833AB320-A81D-FD72-7F19-8B7FDD85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45925" y="2371725"/>
          <a:ext cx="161925" cy="10477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13</xdr:row>
      <xdr:rowOff>9525</xdr:rowOff>
    </xdr:from>
    <xdr:to>
      <xdr:col>22</xdr:col>
      <xdr:colOff>190500</xdr:colOff>
      <xdr:row>13</xdr:row>
      <xdr:rowOff>123825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7A92328-D96E-97DF-B6CF-5DEE6A1B44F6}"/>
            </a:ext>
            <a:ext uri="{147F2762-F138-4A5C-976F-8EAC2B608ADB}">
              <a16:predDERef xmlns:a16="http://schemas.microsoft.com/office/drawing/2014/main" pred="{BF023FBC-D0CB-2EFA-6A9B-2AE7C281F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55450" y="2543175"/>
          <a:ext cx="152400" cy="11430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14</xdr:row>
      <xdr:rowOff>9525</xdr:rowOff>
    </xdr:from>
    <xdr:to>
      <xdr:col>22</xdr:col>
      <xdr:colOff>190500</xdr:colOff>
      <xdr:row>14</xdr:row>
      <xdr:rowOff>142875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82EA3DE-326B-C829-61C7-CDF141A78DB3}"/>
            </a:ext>
            <a:ext uri="{147F2762-F138-4A5C-976F-8EAC2B608ADB}">
              <a16:predDERef xmlns:a16="http://schemas.microsoft.com/office/drawing/2014/main" pred="{B7A92328-D96E-97DF-B6CF-5DEE6A1B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555450" y="2724150"/>
          <a:ext cx="15240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15</xdr:row>
      <xdr:rowOff>19050</xdr:rowOff>
    </xdr:from>
    <xdr:to>
      <xdr:col>22</xdr:col>
      <xdr:colOff>200025</xdr:colOff>
      <xdr:row>15</xdr:row>
      <xdr:rowOff>152400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1EAEEE8-4000-406A-E1F3-CEA864BA8BA9}"/>
            </a:ext>
            <a:ext uri="{147F2762-F138-4A5C-976F-8EAC2B608ADB}">
              <a16:predDERef xmlns:a16="http://schemas.microsoft.com/office/drawing/2014/main" pred="{B82EA3DE-326B-C829-61C7-CDF141A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545925" y="2914650"/>
          <a:ext cx="17145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16</xdr:row>
      <xdr:rowOff>19050</xdr:rowOff>
    </xdr:from>
    <xdr:to>
      <xdr:col>22</xdr:col>
      <xdr:colOff>200025</xdr:colOff>
      <xdr:row>16</xdr:row>
      <xdr:rowOff>142875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ED22F01-3B51-F9D2-B269-3F3877372C5C}"/>
            </a:ext>
            <a:ext uri="{147F2762-F138-4A5C-976F-8EAC2B608ADB}">
              <a16:predDERef xmlns:a16="http://schemas.microsoft.com/office/drawing/2014/main" pred="{81EAEEE8-4000-406A-E1F3-CEA864B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555450" y="3095625"/>
          <a:ext cx="1619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17</xdr:row>
      <xdr:rowOff>19050</xdr:rowOff>
    </xdr:from>
    <xdr:to>
      <xdr:col>22</xdr:col>
      <xdr:colOff>209550</xdr:colOff>
      <xdr:row>17</xdr:row>
      <xdr:rowOff>152400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E8AD830-2066-8D72-74B0-FB368AACDABD}"/>
            </a:ext>
            <a:ext uri="{147F2762-F138-4A5C-976F-8EAC2B608ADB}">
              <a16:predDERef xmlns:a16="http://schemas.microsoft.com/office/drawing/2014/main" pred="{7ED22F01-3B51-F9D2-B269-3F3877372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555450" y="3276600"/>
          <a:ext cx="17145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18</xdr:row>
      <xdr:rowOff>9525</xdr:rowOff>
    </xdr:from>
    <xdr:to>
      <xdr:col>22</xdr:col>
      <xdr:colOff>200025</xdr:colOff>
      <xdr:row>18</xdr:row>
      <xdr:rowOff>152400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3548868-D860-EDCB-157C-09B41F96A2E6}"/>
            </a:ext>
            <a:ext uri="{147F2762-F138-4A5C-976F-8EAC2B608ADB}">
              <a16:predDERef xmlns:a16="http://schemas.microsoft.com/office/drawing/2014/main" pred="{3E8AD830-2066-8D72-74B0-FB368AAC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555450" y="3448050"/>
          <a:ext cx="1619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19</xdr:row>
      <xdr:rowOff>0</xdr:rowOff>
    </xdr:from>
    <xdr:to>
      <xdr:col>22</xdr:col>
      <xdr:colOff>200025</xdr:colOff>
      <xdr:row>19</xdr:row>
      <xdr:rowOff>142875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DC03C9A-653C-448F-AC90-1C40B9989175}"/>
            </a:ext>
            <a:ext uri="{147F2762-F138-4A5C-976F-8EAC2B608ADB}">
              <a16:predDERef xmlns:a16="http://schemas.microsoft.com/office/drawing/2014/main" pred="{F3548868-D860-EDCB-157C-09B41F96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555450" y="3619500"/>
          <a:ext cx="1619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20</xdr:row>
      <xdr:rowOff>19050</xdr:rowOff>
    </xdr:from>
    <xdr:to>
      <xdr:col>22</xdr:col>
      <xdr:colOff>333375</xdr:colOff>
      <xdr:row>20</xdr:row>
      <xdr:rowOff>123825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BEC2AF7-11A3-309A-4BE1-86049CF27886}"/>
            </a:ext>
            <a:ext uri="{147F2762-F138-4A5C-976F-8EAC2B608ADB}">
              <a16:predDERef xmlns:a16="http://schemas.microsoft.com/office/drawing/2014/main" pred="{3DC03C9A-653C-448F-AC90-1C40B9989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536400" y="3819525"/>
          <a:ext cx="314325" cy="1047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21</xdr:row>
      <xdr:rowOff>19050</xdr:rowOff>
    </xdr:from>
    <xdr:to>
      <xdr:col>22</xdr:col>
      <xdr:colOff>304800</xdr:colOff>
      <xdr:row>21</xdr:row>
      <xdr:rowOff>142875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D8B06DF-E7FB-AF79-4F89-4018ABAE0883}"/>
            </a:ext>
            <a:ext uri="{147F2762-F138-4A5C-976F-8EAC2B608ADB}">
              <a16:predDERef xmlns:a16="http://schemas.microsoft.com/office/drawing/2014/main" pred="{0BEC2AF7-11A3-309A-4BE1-86049CF2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545925" y="4000500"/>
          <a:ext cx="2762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22</xdr:row>
      <xdr:rowOff>9525</xdr:rowOff>
    </xdr:from>
    <xdr:to>
      <xdr:col>22</xdr:col>
      <xdr:colOff>276225</xdr:colOff>
      <xdr:row>22</xdr:row>
      <xdr:rowOff>152400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A15E206-55C7-98C1-B3C7-F20DFCE18A12}"/>
            </a:ext>
            <a:ext uri="{147F2762-F138-4A5C-976F-8EAC2B608ADB}">
              <a16:predDERef xmlns:a16="http://schemas.microsoft.com/office/drawing/2014/main" pred="{2D8B06DF-E7FB-AF79-4F89-4018ABAE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545925" y="4171950"/>
          <a:ext cx="2476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23</xdr:row>
      <xdr:rowOff>19050</xdr:rowOff>
    </xdr:from>
    <xdr:to>
      <xdr:col>22</xdr:col>
      <xdr:colOff>304800</xdr:colOff>
      <xdr:row>23</xdr:row>
      <xdr:rowOff>142875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3504D44-3F64-40F8-A6AB-6F9C1B5FA8B8}"/>
            </a:ext>
            <a:ext uri="{147F2762-F138-4A5C-976F-8EAC2B608ADB}">
              <a16:predDERef xmlns:a16="http://schemas.microsoft.com/office/drawing/2014/main" pred="{2A15E206-55C7-98C1-B3C7-F20DFCE1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545925" y="4362450"/>
          <a:ext cx="2762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24</xdr:row>
      <xdr:rowOff>19050</xdr:rowOff>
    </xdr:from>
    <xdr:to>
      <xdr:col>22</xdr:col>
      <xdr:colOff>466725</xdr:colOff>
      <xdr:row>24</xdr:row>
      <xdr:rowOff>142875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128E5C4-1DBA-E2DB-11E7-30C7E4A817D7}"/>
            </a:ext>
            <a:ext uri="{147F2762-F138-4A5C-976F-8EAC2B608ADB}">
              <a16:predDERef xmlns:a16="http://schemas.microsoft.com/office/drawing/2014/main" pred="{03504D44-3F64-40F8-A6AB-6F9C1B5FA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536400" y="4543425"/>
          <a:ext cx="44767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25</xdr:row>
      <xdr:rowOff>9525</xdr:rowOff>
    </xdr:from>
    <xdr:to>
      <xdr:col>22</xdr:col>
      <xdr:colOff>333375</xdr:colOff>
      <xdr:row>25</xdr:row>
      <xdr:rowOff>142875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5123C99-EDA2-0372-DAB7-F0DC300E4D8A}"/>
            </a:ext>
            <a:ext uri="{147F2762-F138-4A5C-976F-8EAC2B608ADB}">
              <a16:predDERef xmlns:a16="http://schemas.microsoft.com/office/drawing/2014/main" pred="{F128E5C4-1DBA-E2DB-11E7-30C7E4A81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545925" y="4714875"/>
          <a:ext cx="30480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26</xdr:row>
      <xdr:rowOff>19050</xdr:rowOff>
    </xdr:from>
    <xdr:to>
      <xdr:col>22</xdr:col>
      <xdr:colOff>352425</xdr:colOff>
      <xdr:row>26</xdr:row>
      <xdr:rowOff>142875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AEDB973-E3AB-E343-39A7-69B97470ECE7}"/>
            </a:ext>
            <a:ext uri="{147F2762-F138-4A5C-976F-8EAC2B608ADB}">
              <a16:predDERef xmlns:a16="http://schemas.microsoft.com/office/drawing/2014/main" pred="{25123C99-EDA2-0372-DAB7-F0DC300E4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545925" y="4905375"/>
          <a:ext cx="323850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27</xdr:row>
      <xdr:rowOff>19050</xdr:rowOff>
    </xdr:from>
    <xdr:to>
      <xdr:col>22</xdr:col>
      <xdr:colOff>333375</xdr:colOff>
      <xdr:row>27</xdr:row>
      <xdr:rowOff>133350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4FBB1D77-472F-C744-79FC-B26A1F163C53}"/>
            </a:ext>
            <a:ext uri="{147F2762-F138-4A5C-976F-8EAC2B608ADB}">
              <a16:predDERef xmlns:a16="http://schemas.microsoft.com/office/drawing/2014/main" pred="{0AEDB973-E3AB-E343-39A7-69B97470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545925" y="5086350"/>
          <a:ext cx="304800" cy="11430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28</xdr:row>
      <xdr:rowOff>9525</xdr:rowOff>
    </xdr:from>
    <xdr:to>
      <xdr:col>22</xdr:col>
      <xdr:colOff>219075</xdr:colOff>
      <xdr:row>28</xdr:row>
      <xdr:rowOff>133350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D08A6B9E-04ED-43F3-4435-3B630FDACE26}"/>
            </a:ext>
            <a:ext uri="{147F2762-F138-4A5C-976F-8EAC2B608ADB}">
              <a16:predDERef xmlns:a16="http://schemas.microsoft.com/office/drawing/2014/main" pred="{4FBB1D77-472F-C744-79FC-B26A1F16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555450" y="5257800"/>
          <a:ext cx="18097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29</xdr:row>
      <xdr:rowOff>9525</xdr:rowOff>
    </xdr:from>
    <xdr:to>
      <xdr:col>22</xdr:col>
      <xdr:colOff>266700</xdr:colOff>
      <xdr:row>29</xdr:row>
      <xdr:rowOff>133350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A3285B1-0DD4-3EA1-6B81-7D43603E4005}"/>
            </a:ext>
            <a:ext uri="{147F2762-F138-4A5C-976F-8EAC2B608ADB}">
              <a16:predDERef xmlns:a16="http://schemas.microsoft.com/office/drawing/2014/main" pred="{D08A6B9E-04ED-43F3-4435-3B630FD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545925" y="5438775"/>
          <a:ext cx="2381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30</xdr:row>
      <xdr:rowOff>9525</xdr:rowOff>
    </xdr:from>
    <xdr:to>
      <xdr:col>22</xdr:col>
      <xdr:colOff>219075</xdr:colOff>
      <xdr:row>30</xdr:row>
      <xdr:rowOff>142875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B8C45F5-1F37-319F-9EE9-57F1085D6BC1}"/>
            </a:ext>
            <a:ext uri="{147F2762-F138-4A5C-976F-8EAC2B608ADB}">
              <a16:predDERef xmlns:a16="http://schemas.microsoft.com/office/drawing/2014/main" pred="{0A3285B1-0DD4-3EA1-6B81-7D43603E4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555450" y="5619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31</xdr:row>
      <xdr:rowOff>19050</xdr:rowOff>
    </xdr:from>
    <xdr:to>
      <xdr:col>22</xdr:col>
      <xdr:colOff>647700</xdr:colOff>
      <xdr:row>31</xdr:row>
      <xdr:rowOff>142875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2B48469A-5145-64B1-2EA3-89C8F8959292}"/>
            </a:ext>
            <a:ext uri="{147F2762-F138-4A5C-976F-8EAC2B608ADB}">
              <a16:predDERef xmlns:a16="http://schemas.microsoft.com/office/drawing/2014/main" pred="{DB8C45F5-1F37-319F-9EE9-57F1085D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545925" y="5810250"/>
          <a:ext cx="6191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32</xdr:row>
      <xdr:rowOff>9525</xdr:rowOff>
    </xdr:from>
    <xdr:to>
      <xdr:col>22</xdr:col>
      <xdr:colOff>666750</xdr:colOff>
      <xdr:row>32</xdr:row>
      <xdr:rowOff>123825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D117F43-5AAF-C96C-28AF-9C38B643CC1A}"/>
            </a:ext>
            <a:ext uri="{147F2762-F138-4A5C-976F-8EAC2B608ADB}">
              <a16:predDERef xmlns:a16="http://schemas.microsoft.com/office/drawing/2014/main" pred="{2B48469A-5145-64B1-2EA3-89C8F895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536400" y="5981700"/>
          <a:ext cx="647700" cy="1143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33</xdr:row>
      <xdr:rowOff>19050</xdr:rowOff>
    </xdr:from>
    <xdr:to>
      <xdr:col>22</xdr:col>
      <xdr:colOff>257175</xdr:colOff>
      <xdr:row>33</xdr:row>
      <xdr:rowOff>142875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EF5E75B4-4A0D-07C9-DD50-F75C2BF28DCA}"/>
            </a:ext>
            <a:ext uri="{147F2762-F138-4A5C-976F-8EAC2B608ADB}">
              <a16:predDERef xmlns:a16="http://schemas.microsoft.com/office/drawing/2014/main" pred="{DD117F43-5AAF-C96C-28AF-9C38B643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545925" y="6172200"/>
          <a:ext cx="228600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34</xdr:row>
      <xdr:rowOff>19050</xdr:rowOff>
    </xdr:from>
    <xdr:to>
      <xdr:col>22</xdr:col>
      <xdr:colOff>381000</xdr:colOff>
      <xdr:row>34</xdr:row>
      <xdr:rowOff>142875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19657861-8172-8BFC-C97D-62254EF9DA09}"/>
            </a:ext>
            <a:ext uri="{147F2762-F138-4A5C-976F-8EAC2B608ADB}">
              <a16:predDERef xmlns:a16="http://schemas.microsoft.com/office/drawing/2014/main" pred="{EF5E75B4-4A0D-07C9-DD50-F75C2BF28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545925" y="6353175"/>
          <a:ext cx="3524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35</xdr:row>
      <xdr:rowOff>9525</xdr:rowOff>
    </xdr:from>
    <xdr:to>
      <xdr:col>22</xdr:col>
      <xdr:colOff>390525</xdr:colOff>
      <xdr:row>35</xdr:row>
      <xdr:rowOff>133350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7FB52103-5A02-B3B1-FE79-E9D742ECD174}"/>
            </a:ext>
            <a:ext uri="{147F2762-F138-4A5C-976F-8EAC2B608ADB}">
              <a16:predDERef xmlns:a16="http://schemas.microsoft.com/office/drawing/2014/main" pred="{19657861-8172-8BFC-C97D-62254EF9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545925" y="6524625"/>
          <a:ext cx="361950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36</xdr:row>
      <xdr:rowOff>19050</xdr:rowOff>
    </xdr:from>
    <xdr:to>
      <xdr:col>22</xdr:col>
      <xdr:colOff>400050</xdr:colOff>
      <xdr:row>36</xdr:row>
      <xdr:rowOff>152400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D83D7597-540E-307F-C3A8-9A6DDF583A67}"/>
            </a:ext>
            <a:ext uri="{147F2762-F138-4A5C-976F-8EAC2B608ADB}">
              <a16:predDERef xmlns:a16="http://schemas.microsoft.com/office/drawing/2014/main" pred="{7FB52103-5A02-B3B1-FE79-E9D742ECD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536400" y="6715125"/>
          <a:ext cx="38100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37</xdr:row>
      <xdr:rowOff>9525</xdr:rowOff>
    </xdr:from>
    <xdr:to>
      <xdr:col>22</xdr:col>
      <xdr:colOff>409575</xdr:colOff>
      <xdr:row>37</xdr:row>
      <xdr:rowOff>142875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FE393BEA-5945-9F96-5274-D01891E26DC6}"/>
            </a:ext>
            <a:ext uri="{147F2762-F138-4A5C-976F-8EAC2B608ADB}">
              <a16:predDERef xmlns:a16="http://schemas.microsoft.com/office/drawing/2014/main" pred="{D83D7597-540E-307F-C3A8-9A6DDF583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545925" y="6886575"/>
          <a:ext cx="38100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42</xdr:row>
      <xdr:rowOff>9525</xdr:rowOff>
    </xdr:from>
    <xdr:to>
      <xdr:col>22</xdr:col>
      <xdr:colOff>695325</xdr:colOff>
      <xdr:row>42</xdr:row>
      <xdr:rowOff>133350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A3D53B80-685D-4388-F07A-97AE581667B5}"/>
            </a:ext>
            <a:ext uri="{147F2762-F138-4A5C-976F-8EAC2B608ADB}">
              <a16:predDERef xmlns:a16="http://schemas.microsoft.com/office/drawing/2014/main" pred="{FE393BEA-5945-9F96-5274-D01891E26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536400" y="7791450"/>
          <a:ext cx="67627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43</xdr:row>
      <xdr:rowOff>0</xdr:rowOff>
    </xdr:from>
    <xdr:to>
      <xdr:col>22</xdr:col>
      <xdr:colOff>714375</xdr:colOff>
      <xdr:row>43</xdr:row>
      <xdr:rowOff>142875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7057505A-690F-E3DE-C8E2-88BF7BC2BB22}"/>
            </a:ext>
            <a:ext uri="{147F2762-F138-4A5C-976F-8EAC2B608ADB}">
              <a16:predDERef xmlns:a16="http://schemas.microsoft.com/office/drawing/2014/main" pred="{A3D53B80-685D-4388-F07A-97AE58166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545925" y="7962900"/>
          <a:ext cx="6858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44</xdr:row>
      <xdr:rowOff>9525</xdr:rowOff>
    </xdr:from>
    <xdr:to>
      <xdr:col>22</xdr:col>
      <xdr:colOff>723900</xdr:colOff>
      <xdr:row>44</xdr:row>
      <xdr:rowOff>152400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69E178C9-1392-A4AF-FDC8-0B4EE105C377}"/>
            </a:ext>
            <a:ext uri="{147F2762-F138-4A5C-976F-8EAC2B608ADB}">
              <a16:predDERef xmlns:a16="http://schemas.microsoft.com/office/drawing/2014/main" pred="{7057505A-690F-E3DE-C8E2-88BF7BC2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545925" y="8153400"/>
          <a:ext cx="6953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45</xdr:row>
      <xdr:rowOff>9525</xdr:rowOff>
    </xdr:from>
    <xdr:to>
      <xdr:col>22</xdr:col>
      <xdr:colOff>342900</xdr:colOff>
      <xdr:row>45</xdr:row>
      <xdr:rowOff>152400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67E165B1-DF1C-57E6-EFD2-73E9CFFEC4AD}"/>
            </a:ext>
            <a:ext uri="{147F2762-F138-4A5C-976F-8EAC2B608ADB}">
              <a16:predDERef xmlns:a16="http://schemas.microsoft.com/office/drawing/2014/main" pred="{69E178C9-1392-A4AF-FDC8-0B4EE105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555450" y="8334375"/>
          <a:ext cx="3048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47</xdr:row>
      <xdr:rowOff>0</xdr:rowOff>
    </xdr:from>
    <xdr:to>
      <xdr:col>22</xdr:col>
      <xdr:colOff>295275</xdr:colOff>
      <xdr:row>47</xdr:row>
      <xdr:rowOff>152400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63F7B7F3-4BFF-6244-9241-365513E35835}"/>
            </a:ext>
            <a:ext uri="{147F2762-F138-4A5C-976F-8EAC2B608ADB}">
              <a16:predDERef xmlns:a16="http://schemas.microsoft.com/office/drawing/2014/main" pred="{67E165B1-DF1C-57E6-EFD2-73E9CFFE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536400" y="8686800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49</xdr:row>
      <xdr:rowOff>9525</xdr:rowOff>
    </xdr:from>
    <xdr:to>
      <xdr:col>22</xdr:col>
      <xdr:colOff>762000</xdr:colOff>
      <xdr:row>49</xdr:row>
      <xdr:rowOff>104775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D20C84BE-2AA8-8D0B-9899-B3AC70F0281F}"/>
            </a:ext>
            <a:ext uri="{147F2762-F138-4A5C-976F-8EAC2B608ADB}">
              <a16:predDERef xmlns:a16="http://schemas.microsoft.com/office/drawing/2014/main" pred="{63F7B7F3-4BFF-6244-9241-365513E35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526875" y="9058275"/>
          <a:ext cx="752475" cy="952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50</xdr:row>
      <xdr:rowOff>9525</xdr:rowOff>
    </xdr:from>
    <xdr:to>
      <xdr:col>22</xdr:col>
      <xdr:colOff>895350</xdr:colOff>
      <xdr:row>50</xdr:row>
      <xdr:rowOff>123825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5C886B9B-F437-E171-C63B-4D6EB39ED5B9}"/>
            </a:ext>
            <a:ext uri="{147F2762-F138-4A5C-976F-8EAC2B608ADB}">
              <a16:predDERef xmlns:a16="http://schemas.microsoft.com/office/drawing/2014/main" pred="{D20C84BE-2AA8-8D0B-9899-B3AC70F0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536400" y="9239250"/>
          <a:ext cx="876300" cy="1143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51</xdr:row>
      <xdr:rowOff>9525</xdr:rowOff>
    </xdr:from>
    <xdr:to>
      <xdr:col>22</xdr:col>
      <xdr:colOff>733425</xdr:colOff>
      <xdr:row>51</xdr:row>
      <xdr:rowOff>133350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FE81B80-73EE-A080-9EB4-E6937446F2F7}"/>
            </a:ext>
            <a:ext uri="{147F2762-F138-4A5C-976F-8EAC2B608ADB}">
              <a16:predDERef xmlns:a16="http://schemas.microsoft.com/office/drawing/2014/main" pred="{5C886B9B-F437-E171-C63B-4D6EB39E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536400" y="9420225"/>
          <a:ext cx="71437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57</xdr:row>
      <xdr:rowOff>9525</xdr:rowOff>
    </xdr:from>
    <xdr:to>
      <xdr:col>22</xdr:col>
      <xdr:colOff>276225</xdr:colOff>
      <xdr:row>57</xdr:row>
      <xdr:rowOff>152400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FEB6A111-CE7D-4DD5-946D-F7EED2E4072A}"/>
            </a:ext>
            <a:ext uri="{147F2762-F138-4A5C-976F-8EAC2B608ADB}">
              <a16:predDERef xmlns:a16="http://schemas.microsoft.com/office/drawing/2014/main" pred="{1FE81B80-73EE-A080-9EB4-E6937446F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536400" y="10506075"/>
          <a:ext cx="25717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58</xdr:row>
      <xdr:rowOff>0</xdr:rowOff>
    </xdr:from>
    <xdr:to>
      <xdr:col>22</xdr:col>
      <xdr:colOff>266700</xdr:colOff>
      <xdr:row>58</xdr:row>
      <xdr:rowOff>142875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4060708C-2D19-58AB-414B-ED6865604F8E}"/>
            </a:ext>
            <a:ext uri="{147F2762-F138-4A5C-976F-8EAC2B608ADB}">
              <a16:predDERef xmlns:a16="http://schemas.microsoft.com/office/drawing/2014/main" pred="{FEB6A111-CE7D-4DD5-946D-F7EED2E4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536400" y="10677525"/>
          <a:ext cx="2476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87</xdr:row>
      <xdr:rowOff>0</xdr:rowOff>
    </xdr:from>
    <xdr:to>
      <xdr:col>22</xdr:col>
      <xdr:colOff>314325</xdr:colOff>
      <xdr:row>87</xdr:row>
      <xdr:rowOff>152400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BC6DBF9C-A5D3-B2D3-8F23-CB45A0DA8665}"/>
            </a:ext>
            <a:ext uri="{147F2762-F138-4A5C-976F-8EAC2B608ADB}">
              <a16:predDERef xmlns:a16="http://schemas.microsoft.com/office/drawing/2014/main" pred="{4060708C-2D19-58AB-414B-ED686560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45925" y="15925800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87</xdr:row>
      <xdr:rowOff>161925</xdr:rowOff>
    </xdr:from>
    <xdr:to>
      <xdr:col>22</xdr:col>
      <xdr:colOff>314325</xdr:colOff>
      <xdr:row>88</xdr:row>
      <xdr:rowOff>142169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187B5AE6-A3DD-49D4-A7F2-565AE1A20B3A}"/>
            </a:ext>
            <a:ext uri="{147F2762-F138-4A5C-976F-8EAC2B608ADB}">
              <a16:predDERef xmlns:a16="http://schemas.microsoft.com/office/drawing/2014/main" pred="{BC6DBF9C-A5D3-B2D3-8F23-CB45A0DA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45925" y="16087725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88</xdr:row>
      <xdr:rowOff>161925</xdr:rowOff>
    </xdr:from>
    <xdr:to>
      <xdr:col>22</xdr:col>
      <xdr:colOff>314325</xdr:colOff>
      <xdr:row>89</xdr:row>
      <xdr:rowOff>142170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888C84A3-7011-499C-BE24-8BEA0800913F}"/>
            </a:ext>
            <a:ext uri="{147F2762-F138-4A5C-976F-8EAC2B608ADB}">
              <a16:predDERef xmlns:a16="http://schemas.microsoft.com/office/drawing/2014/main" pred="{187B5AE6-A3DD-49D4-A7F2-565AE1A2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4545925" y="16268700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90</xdr:row>
      <xdr:rowOff>0</xdr:rowOff>
    </xdr:from>
    <xdr:to>
      <xdr:col>22</xdr:col>
      <xdr:colOff>228600</xdr:colOff>
      <xdr:row>90</xdr:row>
      <xdr:rowOff>171450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CAB2FC63-EC6C-ECCF-6D4E-6AF78FCA0F0D}"/>
            </a:ext>
            <a:ext uri="{147F2762-F138-4A5C-976F-8EAC2B608ADB}">
              <a16:predDERef xmlns:a16="http://schemas.microsoft.com/office/drawing/2014/main" pred="{888C84A3-7011-499C-BE24-8BEA0800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5250775" y="16468725"/>
          <a:ext cx="190500" cy="1714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113</xdr:row>
      <xdr:rowOff>0</xdr:rowOff>
    </xdr:from>
    <xdr:to>
      <xdr:col>22</xdr:col>
      <xdr:colOff>238125</xdr:colOff>
      <xdr:row>113</xdr:row>
      <xdr:rowOff>161925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7DFBC118-F966-F7A8-A0C7-2DBB5E5D9B52}"/>
            </a:ext>
            <a:ext uri="{147F2762-F138-4A5C-976F-8EAC2B608ADB}">
              <a16:predDERef xmlns:a16="http://schemas.microsoft.com/office/drawing/2014/main" pred="{CAB2FC63-EC6C-ECCF-6D4E-6AF78FCA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545925" y="20631150"/>
          <a:ext cx="209550" cy="1619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156</xdr:row>
      <xdr:rowOff>0</xdr:rowOff>
    </xdr:from>
    <xdr:to>
      <xdr:col>22</xdr:col>
      <xdr:colOff>276225</xdr:colOff>
      <xdr:row>156</xdr:row>
      <xdr:rowOff>152400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A8020D9-196C-EA04-8001-33DFB562F971}"/>
            </a:ext>
            <a:ext uri="{147F2762-F138-4A5C-976F-8EAC2B608ADB}">
              <a16:predDERef xmlns:a16="http://schemas.microsoft.com/office/drawing/2014/main" pred="{7DFBC118-F966-F7A8-A0C7-2DBB5E5D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4536400" y="28413075"/>
          <a:ext cx="25717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164</xdr:row>
      <xdr:rowOff>9525</xdr:rowOff>
    </xdr:from>
    <xdr:to>
      <xdr:col>22</xdr:col>
      <xdr:colOff>295275</xdr:colOff>
      <xdr:row>164</xdr:row>
      <xdr:rowOff>161925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ED56BB6C-89D6-A7A0-08AB-AA156F42775E}"/>
            </a:ext>
            <a:ext uri="{147F2762-F138-4A5C-976F-8EAC2B608ADB}">
              <a16:predDERef xmlns:a16="http://schemas.microsoft.com/office/drawing/2014/main" pred="{0A8020D9-196C-EA04-8001-33DFB562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536400" y="29870400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165</xdr:row>
      <xdr:rowOff>9525</xdr:rowOff>
    </xdr:from>
    <xdr:to>
      <xdr:col>22</xdr:col>
      <xdr:colOff>276225</xdr:colOff>
      <xdr:row>165</xdr:row>
      <xdr:rowOff>142875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A8755795-6BB4-9A06-70D3-5AC9EA7718EB}"/>
            </a:ext>
            <a:ext uri="{147F2762-F138-4A5C-976F-8EAC2B608ADB}">
              <a16:predDERef xmlns:a16="http://schemas.microsoft.com/office/drawing/2014/main" pred="{ED56BB6C-89D6-A7A0-08AB-AA156F427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231725" y="30051375"/>
          <a:ext cx="25717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166</xdr:row>
      <xdr:rowOff>9525</xdr:rowOff>
    </xdr:from>
    <xdr:to>
      <xdr:col>22</xdr:col>
      <xdr:colOff>257175</xdr:colOff>
      <xdr:row>166</xdr:row>
      <xdr:rowOff>152400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79F404E6-996B-704B-8947-C2BAAED65DA7}"/>
            </a:ext>
            <a:ext uri="{147F2762-F138-4A5C-976F-8EAC2B608ADB}">
              <a16:predDERef xmlns:a16="http://schemas.microsoft.com/office/drawing/2014/main" pred="{A8755795-6BB4-9A06-70D3-5AC9EA77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5231725" y="30232350"/>
          <a:ext cx="2381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167</xdr:row>
      <xdr:rowOff>0</xdr:rowOff>
    </xdr:from>
    <xdr:to>
      <xdr:col>22</xdr:col>
      <xdr:colOff>304800</xdr:colOff>
      <xdr:row>167</xdr:row>
      <xdr:rowOff>142875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6EEF92B-DB12-45F5-480A-AA3F20F45C84}"/>
            </a:ext>
            <a:ext uri="{147F2762-F138-4A5C-976F-8EAC2B608ADB}">
              <a16:predDERef xmlns:a16="http://schemas.microsoft.com/office/drawing/2014/main" pred="{79F404E6-996B-704B-8947-C2BAAED6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4536400" y="30403800"/>
          <a:ext cx="2857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168</xdr:row>
      <xdr:rowOff>0</xdr:rowOff>
    </xdr:from>
    <xdr:to>
      <xdr:col>22</xdr:col>
      <xdr:colOff>304800</xdr:colOff>
      <xdr:row>168</xdr:row>
      <xdr:rowOff>142875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F1515E3-6EEF-106B-502A-955637D175D8}"/>
            </a:ext>
            <a:ext uri="{147F2762-F138-4A5C-976F-8EAC2B608ADB}">
              <a16:predDERef xmlns:a16="http://schemas.microsoft.com/office/drawing/2014/main" pred="{B6EEF92B-DB12-45F5-480A-AA3F20F4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545925" y="30584775"/>
          <a:ext cx="2762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168</xdr:row>
      <xdr:rowOff>171450</xdr:rowOff>
    </xdr:from>
    <xdr:to>
      <xdr:col>22</xdr:col>
      <xdr:colOff>266700</xdr:colOff>
      <xdr:row>169</xdr:row>
      <xdr:rowOff>146794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EC69524F-1547-8EAD-94B9-8177803A3BC4}"/>
            </a:ext>
            <a:ext uri="{147F2762-F138-4A5C-976F-8EAC2B608ADB}">
              <a16:predDERef xmlns:a16="http://schemas.microsoft.com/office/drawing/2014/main" pred="{FF1515E3-6EEF-106B-502A-955637D1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4545925" y="30756225"/>
          <a:ext cx="2381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170</xdr:row>
      <xdr:rowOff>0</xdr:rowOff>
    </xdr:from>
    <xdr:to>
      <xdr:col>22</xdr:col>
      <xdr:colOff>304800</xdr:colOff>
      <xdr:row>170</xdr:row>
      <xdr:rowOff>142875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69F995CA-8140-BBC6-AFEF-840DCA031843}"/>
            </a:ext>
            <a:ext uri="{147F2762-F138-4A5C-976F-8EAC2B608ADB}">
              <a16:predDERef xmlns:a16="http://schemas.microsoft.com/office/drawing/2014/main" pred="{EC69524F-1547-8EAD-94B9-8177803A3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536400" y="30946725"/>
          <a:ext cx="2857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171</xdr:row>
      <xdr:rowOff>0</xdr:rowOff>
    </xdr:from>
    <xdr:to>
      <xdr:col>22</xdr:col>
      <xdr:colOff>342900</xdr:colOff>
      <xdr:row>171</xdr:row>
      <xdr:rowOff>152400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A35F5658-C0EF-4677-BDEF-9D81A15B13BC}"/>
            </a:ext>
            <a:ext uri="{147F2762-F138-4A5C-976F-8EAC2B608ADB}">
              <a16:predDERef xmlns:a16="http://schemas.microsoft.com/office/drawing/2014/main" pred="{69F995CA-8140-BBC6-AFEF-840DCA031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4536400" y="31127700"/>
          <a:ext cx="3238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172</xdr:row>
      <xdr:rowOff>0</xdr:rowOff>
    </xdr:from>
    <xdr:to>
      <xdr:col>22</xdr:col>
      <xdr:colOff>352425</xdr:colOff>
      <xdr:row>172</xdr:row>
      <xdr:rowOff>161925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CDF39E67-2137-3A22-F01E-B82DC4739A31}"/>
            </a:ext>
            <a:ext uri="{147F2762-F138-4A5C-976F-8EAC2B608ADB}">
              <a16:predDERef xmlns:a16="http://schemas.microsoft.com/office/drawing/2014/main" pred="{A35F5658-C0EF-4677-BDEF-9D81A15B1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4526875" y="31308675"/>
          <a:ext cx="342900" cy="1619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173</xdr:row>
      <xdr:rowOff>0</xdr:rowOff>
    </xdr:from>
    <xdr:to>
      <xdr:col>22</xdr:col>
      <xdr:colOff>352425</xdr:colOff>
      <xdr:row>173</xdr:row>
      <xdr:rowOff>152400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E811C7E-A102-4ED6-5090-643BAB2F45EE}"/>
            </a:ext>
            <a:ext uri="{147F2762-F138-4A5C-976F-8EAC2B608ADB}">
              <a16:predDERef xmlns:a16="http://schemas.microsoft.com/office/drawing/2014/main" pred="{CDF39E67-2137-3A22-F01E-B82DC4739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4536400" y="31489650"/>
          <a:ext cx="33337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174</xdr:row>
      <xdr:rowOff>0</xdr:rowOff>
    </xdr:from>
    <xdr:to>
      <xdr:col>22</xdr:col>
      <xdr:colOff>342900</xdr:colOff>
      <xdr:row>174</xdr:row>
      <xdr:rowOff>152400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135D54C0-0A98-6E27-E449-C919CE931B88}"/>
            </a:ext>
            <a:ext uri="{147F2762-F138-4A5C-976F-8EAC2B608ADB}">
              <a16:predDERef xmlns:a16="http://schemas.microsoft.com/office/drawing/2014/main" pred="{0E811C7E-A102-4ED6-5090-643BAB2F4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4526875" y="31670625"/>
          <a:ext cx="33337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175</xdr:row>
      <xdr:rowOff>9525</xdr:rowOff>
    </xdr:from>
    <xdr:to>
      <xdr:col>22</xdr:col>
      <xdr:colOff>266700</xdr:colOff>
      <xdr:row>175</xdr:row>
      <xdr:rowOff>152400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9C3FABDA-2F5F-BFC6-F74B-21EEA8B3E9AA}"/>
            </a:ext>
            <a:ext uri="{147F2762-F138-4A5C-976F-8EAC2B608ADB}">
              <a16:predDERef xmlns:a16="http://schemas.microsoft.com/office/drawing/2014/main" pred="{135D54C0-0A98-6E27-E449-C919CE93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545925" y="31861125"/>
          <a:ext cx="2381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176</xdr:row>
      <xdr:rowOff>9525</xdr:rowOff>
    </xdr:from>
    <xdr:to>
      <xdr:col>22</xdr:col>
      <xdr:colOff>333375</xdr:colOff>
      <xdr:row>176</xdr:row>
      <xdr:rowOff>142875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B08944FF-E77F-E6CB-378B-B9AF0981F4C1}"/>
            </a:ext>
            <a:ext uri="{147F2762-F138-4A5C-976F-8EAC2B608ADB}">
              <a16:predDERef xmlns:a16="http://schemas.microsoft.com/office/drawing/2014/main" pred="{9C3FABDA-2F5F-BFC6-F74B-21EEA8B3E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4536400" y="32042100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177</xdr:row>
      <xdr:rowOff>9525</xdr:rowOff>
    </xdr:from>
    <xdr:to>
      <xdr:col>22</xdr:col>
      <xdr:colOff>361950</xdr:colOff>
      <xdr:row>177</xdr:row>
      <xdr:rowOff>152400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635062E8-3788-A2B1-E335-9230AC2BA50D}"/>
            </a:ext>
            <a:ext uri="{147F2762-F138-4A5C-976F-8EAC2B608ADB}">
              <a16:predDERef xmlns:a16="http://schemas.microsoft.com/office/drawing/2014/main" pred="{B08944FF-E77F-E6CB-378B-B9AF0981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545925" y="32223075"/>
          <a:ext cx="33337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178</xdr:row>
      <xdr:rowOff>9525</xdr:rowOff>
    </xdr:from>
    <xdr:to>
      <xdr:col>22</xdr:col>
      <xdr:colOff>371475</xdr:colOff>
      <xdr:row>178</xdr:row>
      <xdr:rowOff>161925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9F7B1F4F-8A03-CE39-4661-FC69009B43AB}"/>
            </a:ext>
            <a:ext uri="{147F2762-F138-4A5C-976F-8EAC2B608ADB}">
              <a16:predDERef xmlns:a16="http://schemas.microsoft.com/office/drawing/2014/main" pred="{635062E8-3788-A2B1-E335-9230AC2BA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4536400" y="32404050"/>
          <a:ext cx="3524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179</xdr:row>
      <xdr:rowOff>9525</xdr:rowOff>
    </xdr:from>
    <xdr:to>
      <xdr:col>22</xdr:col>
      <xdr:colOff>342900</xdr:colOff>
      <xdr:row>179</xdr:row>
      <xdr:rowOff>142875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3F568413-7FAC-07A2-5AAC-514B1BD74918}"/>
            </a:ext>
            <a:ext uri="{147F2762-F138-4A5C-976F-8EAC2B608ADB}">
              <a16:predDERef xmlns:a16="http://schemas.microsoft.com/office/drawing/2014/main" pred="{9F7B1F4F-8A03-CE39-4661-FC69009B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4545925" y="32585025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180</xdr:row>
      <xdr:rowOff>9525</xdr:rowOff>
    </xdr:from>
    <xdr:to>
      <xdr:col>22</xdr:col>
      <xdr:colOff>352425</xdr:colOff>
      <xdr:row>180</xdr:row>
      <xdr:rowOff>142875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EE016DC7-EDA7-BC38-2DD7-D39027F7B208}"/>
            </a:ext>
            <a:ext uri="{147F2762-F138-4A5C-976F-8EAC2B608ADB}">
              <a16:predDERef xmlns:a16="http://schemas.microsoft.com/office/drawing/2014/main" pred="{3F568413-7FAC-07A2-5AAC-514B1BD74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555450" y="32766000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181</xdr:row>
      <xdr:rowOff>9525</xdr:rowOff>
    </xdr:from>
    <xdr:to>
      <xdr:col>22</xdr:col>
      <xdr:colOff>257175</xdr:colOff>
      <xdr:row>181</xdr:row>
      <xdr:rowOff>142875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69BC1B5B-81C0-7F7C-CC91-72D8023B6198}"/>
            </a:ext>
            <a:ext uri="{147F2762-F138-4A5C-976F-8EAC2B608ADB}">
              <a16:predDERef xmlns:a16="http://schemas.microsoft.com/office/drawing/2014/main" pred="{EE016DC7-EDA7-BC38-2DD7-D39027F7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4555450" y="32946975"/>
          <a:ext cx="21907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182</xdr:row>
      <xdr:rowOff>0</xdr:rowOff>
    </xdr:from>
    <xdr:to>
      <xdr:col>22</xdr:col>
      <xdr:colOff>257175</xdr:colOff>
      <xdr:row>182</xdr:row>
      <xdr:rowOff>161925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D78BE5F2-B1F0-523E-2ADE-32817040218B}"/>
            </a:ext>
            <a:ext uri="{147F2762-F138-4A5C-976F-8EAC2B608ADB}">
              <a16:predDERef xmlns:a16="http://schemas.microsoft.com/office/drawing/2014/main" pred="{69BC1B5B-81C0-7F7C-CC91-72D8023B6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4564975" y="33118425"/>
          <a:ext cx="209550" cy="16192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183</xdr:row>
      <xdr:rowOff>0</xdr:rowOff>
    </xdr:from>
    <xdr:to>
      <xdr:col>22</xdr:col>
      <xdr:colOff>238125</xdr:colOff>
      <xdr:row>183</xdr:row>
      <xdr:rowOff>161925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D5736C6D-243C-A114-2163-BAFDCE84A2D8}"/>
            </a:ext>
            <a:ext uri="{147F2762-F138-4A5C-976F-8EAC2B608ADB}">
              <a16:predDERef xmlns:a16="http://schemas.microsoft.com/office/drawing/2014/main" pred="{D78BE5F2-B1F0-523E-2ADE-32817040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555450" y="33299400"/>
          <a:ext cx="200025" cy="16192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184</xdr:row>
      <xdr:rowOff>0</xdr:rowOff>
    </xdr:from>
    <xdr:to>
      <xdr:col>22</xdr:col>
      <xdr:colOff>228600</xdr:colOff>
      <xdr:row>184</xdr:row>
      <xdr:rowOff>152400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F31DD2D8-C181-34C8-05AC-60E5D05C5BDC}"/>
            </a:ext>
            <a:ext uri="{147F2762-F138-4A5C-976F-8EAC2B608ADB}">
              <a16:predDERef xmlns:a16="http://schemas.microsoft.com/office/drawing/2014/main" pred="{D5736C6D-243C-A114-2163-BAFDCE84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4555450" y="33480375"/>
          <a:ext cx="19050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185</xdr:row>
      <xdr:rowOff>0</xdr:rowOff>
    </xdr:from>
    <xdr:to>
      <xdr:col>22</xdr:col>
      <xdr:colOff>219075</xdr:colOff>
      <xdr:row>185</xdr:row>
      <xdr:rowOff>152400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83AF6CBC-235E-3D06-523D-710BA197AFE8}"/>
            </a:ext>
            <a:ext uri="{147F2762-F138-4A5C-976F-8EAC2B608ADB}">
              <a16:predDERef xmlns:a16="http://schemas.microsoft.com/office/drawing/2014/main" pred="{F31DD2D8-C181-34C8-05AC-60E5D05C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4555450" y="33661350"/>
          <a:ext cx="18097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186</xdr:row>
      <xdr:rowOff>0</xdr:rowOff>
    </xdr:from>
    <xdr:to>
      <xdr:col>22</xdr:col>
      <xdr:colOff>238125</xdr:colOff>
      <xdr:row>186</xdr:row>
      <xdr:rowOff>142875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69BAE73A-9F1B-1EB8-C97B-A96F12C1F1B9}"/>
            </a:ext>
            <a:ext uri="{147F2762-F138-4A5C-976F-8EAC2B608ADB}">
              <a16:predDERef xmlns:a16="http://schemas.microsoft.com/office/drawing/2014/main" pred="{83AF6CBC-235E-3D06-523D-710BA197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4545925" y="33842325"/>
          <a:ext cx="2095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187</xdr:row>
      <xdr:rowOff>0</xdr:rowOff>
    </xdr:from>
    <xdr:to>
      <xdr:col>22</xdr:col>
      <xdr:colOff>257175</xdr:colOff>
      <xdr:row>187</xdr:row>
      <xdr:rowOff>152400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65717B6F-66B5-5044-DB39-F5F9C6A5FDC8}"/>
            </a:ext>
            <a:ext uri="{147F2762-F138-4A5C-976F-8EAC2B608ADB}">
              <a16:predDERef xmlns:a16="http://schemas.microsoft.com/office/drawing/2014/main" pred="{69BAE73A-9F1B-1EB8-C97B-A96F12C1F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536400" y="34023300"/>
          <a:ext cx="2381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188</xdr:row>
      <xdr:rowOff>28575</xdr:rowOff>
    </xdr:from>
    <xdr:to>
      <xdr:col>22</xdr:col>
      <xdr:colOff>257175</xdr:colOff>
      <xdr:row>188</xdr:row>
      <xdr:rowOff>152400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D679C28-780E-7BF3-C815-68DD56B97560}"/>
            </a:ext>
            <a:ext uri="{147F2762-F138-4A5C-976F-8EAC2B608ADB}">
              <a16:predDERef xmlns:a16="http://schemas.microsoft.com/office/drawing/2014/main" pred="{65717B6F-66B5-5044-DB39-F5F9C6A5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4536400" y="34232850"/>
          <a:ext cx="2381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189</xdr:row>
      <xdr:rowOff>9525</xdr:rowOff>
    </xdr:from>
    <xdr:to>
      <xdr:col>22</xdr:col>
      <xdr:colOff>285750</xdr:colOff>
      <xdr:row>189</xdr:row>
      <xdr:rowOff>142875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CC735959-5D63-9128-7CB5-A20BA325FA79}"/>
            </a:ext>
            <a:ext uri="{147F2762-F138-4A5C-976F-8EAC2B608ADB}">
              <a16:predDERef xmlns:a16="http://schemas.microsoft.com/office/drawing/2014/main" pred="{0D679C28-780E-7BF3-C815-68DD56B97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4545925" y="34394775"/>
          <a:ext cx="25717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190</xdr:row>
      <xdr:rowOff>0</xdr:rowOff>
    </xdr:from>
    <xdr:to>
      <xdr:col>22</xdr:col>
      <xdr:colOff>285750</xdr:colOff>
      <xdr:row>190</xdr:row>
      <xdr:rowOff>142875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FA5C938F-0492-4FA7-9410-CDC213B94E45}"/>
            </a:ext>
            <a:ext uri="{147F2762-F138-4A5C-976F-8EAC2B608ADB}">
              <a16:predDERef xmlns:a16="http://schemas.microsoft.com/office/drawing/2014/main" pred="{CC735959-5D63-9128-7CB5-A20BA325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4536400" y="34566225"/>
          <a:ext cx="2667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191</xdr:row>
      <xdr:rowOff>9525</xdr:rowOff>
    </xdr:from>
    <xdr:to>
      <xdr:col>22</xdr:col>
      <xdr:colOff>304800</xdr:colOff>
      <xdr:row>191</xdr:row>
      <xdr:rowOff>152400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FBC6A489-A564-7E21-89B4-9B6E4991D611}"/>
            </a:ext>
            <a:ext uri="{147F2762-F138-4A5C-976F-8EAC2B608ADB}">
              <a16:predDERef xmlns:a16="http://schemas.microsoft.com/office/drawing/2014/main" pred="{FA5C938F-0492-4FA7-9410-CDC213B9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4536400" y="34756725"/>
          <a:ext cx="2857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192</xdr:row>
      <xdr:rowOff>9525</xdr:rowOff>
    </xdr:from>
    <xdr:to>
      <xdr:col>22</xdr:col>
      <xdr:colOff>276225</xdr:colOff>
      <xdr:row>192</xdr:row>
      <xdr:rowOff>133350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5B3FE379-0228-B909-5DBD-B76ED61B48F6}"/>
            </a:ext>
            <a:ext uri="{147F2762-F138-4A5C-976F-8EAC2B608ADB}">
              <a16:predDERef xmlns:a16="http://schemas.microsoft.com/office/drawing/2014/main" pred="{FBC6A489-A564-7E21-89B4-9B6E4991D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4545925" y="34937700"/>
          <a:ext cx="247650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193</xdr:row>
      <xdr:rowOff>9525</xdr:rowOff>
    </xdr:from>
    <xdr:to>
      <xdr:col>22</xdr:col>
      <xdr:colOff>314325</xdr:colOff>
      <xdr:row>193</xdr:row>
      <xdr:rowOff>142875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AAC94D11-0CC0-8779-62F4-3A5C38C90749}"/>
            </a:ext>
            <a:ext uri="{147F2762-F138-4A5C-976F-8EAC2B608ADB}">
              <a16:predDERef xmlns:a16="http://schemas.microsoft.com/office/drawing/2014/main" pred="{5B3FE379-0228-B909-5DBD-B76ED61B4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4526875" y="35118675"/>
          <a:ext cx="30480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194</xdr:row>
      <xdr:rowOff>19050</xdr:rowOff>
    </xdr:from>
    <xdr:to>
      <xdr:col>22</xdr:col>
      <xdr:colOff>247650</xdr:colOff>
      <xdr:row>194</xdr:row>
      <xdr:rowOff>161925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32460190-FD75-1868-7A1A-C3190BAAE185}"/>
            </a:ext>
            <a:ext uri="{147F2762-F138-4A5C-976F-8EAC2B608ADB}">
              <a16:predDERef xmlns:a16="http://schemas.microsoft.com/office/drawing/2014/main" pred="{AAC94D11-0CC0-8779-62F4-3A5C38C9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4545925" y="35309175"/>
          <a:ext cx="21907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</xdr:colOff>
      <xdr:row>195</xdr:row>
      <xdr:rowOff>9525</xdr:rowOff>
    </xdr:from>
    <xdr:to>
      <xdr:col>22</xdr:col>
      <xdr:colOff>228600</xdr:colOff>
      <xdr:row>195</xdr:row>
      <xdr:rowOff>152400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B16827A7-AA4B-D44B-2228-B67BEACBD1A5}"/>
            </a:ext>
            <a:ext uri="{147F2762-F138-4A5C-976F-8EAC2B608ADB}">
              <a16:predDERef xmlns:a16="http://schemas.microsoft.com/office/drawing/2014/main" pred="{32460190-FD75-1868-7A1A-C3190BAA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4555450" y="354806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196</xdr:row>
      <xdr:rowOff>9525</xdr:rowOff>
    </xdr:from>
    <xdr:to>
      <xdr:col>22</xdr:col>
      <xdr:colOff>228600</xdr:colOff>
      <xdr:row>196</xdr:row>
      <xdr:rowOff>142875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564D7A8F-F6F8-0479-BE6E-6C3283BB4C1C}"/>
            </a:ext>
            <a:ext uri="{147F2762-F138-4A5C-976F-8EAC2B608ADB}">
              <a16:predDERef xmlns:a16="http://schemas.microsoft.com/office/drawing/2014/main" pred="{B16827A7-AA4B-D44B-2228-B67BEACB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4536400" y="35661600"/>
          <a:ext cx="20955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197</xdr:row>
      <xdr:rowOff>0</xdr:rowOff>
    </xdr:from>
    <xdr:to>
      <xdr:col>22</xdr:col>
      <xdr:colOff>285750</xdr:colOff>
      <xdr:row>197</xdr:row>
      <xdr:rowOff>142875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3E016373-9076-4EAF-A074-67508E24905A}"/>
            </a:ext>
            <a:ext uri="{147F2762-F138-4A5C-976F-8EAC2B608ADB}">
              <a16:predDERef xmlns:a16="http://schemas.microsoft.com/office/drawing/2014/main" pred="{564D7A8F-F6F8-0479-BE6E-6C3283BB4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4526875" y="35833050"/>
          <a:ext cx="2762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198</xdr:row>
      <xdr:rowOff>0</xdr:rowOff>
    </xdr:from>
    <xdr:to>
      <xdr:col>22</xdr:col>
      <xdr:colOff>276225</xdr:colOff>
      <xdr:row>198</xdr:row>
      <xdr:rowOff>152400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6D38016B-A97F-D905-FA79-36545238F5AA}"/>
            </a:ext>
            <a:ext uri="{147F2762-F138-4A5C-976F-8EAC2B608ADB}">
              <a16:predDERef xmlns:a16="http://schemas.microsoft.com/office/drawing/2014/main" pred="{3E016373-9076-4EAF-A074-67508E249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4517350" y="36014025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199</xdr:row>
      <xdr:rowOff>9525</xdr:rowOff>
    </xdr:from>
    <xdr:to>
      <xdr:col>22</xdr:col>
      <xdr:colOff>266700</xdr:colOff>
      <xdr:row>199</xdr:row>
      <xdr:rowOff>152400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1F21AC6B-4F96-9C81-9362-8D2C5E3BB00C}"/>
            </a:ext>
            <a:ext uri="{147F2762-F138-4A5C-976F-8EAC2B608ADB}">
              <a16:predDERef xmlns:a16="http://schemas.microsoft.com/office/drawing/2014/main" pred="{6D38016B-A97F-D905-FA79-36545238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4536400" y="36204525"/>
          <a:ext cx="24765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200</xdr:row>
      <xdr:rowOff>9525</xdr:rowOff>
    </xdr:from>
    <xdr:to>
      <xdr:col>22</xdr:col>
      <xdr:colOff>266700</xdr:colOff>
      <xdr:row>200</xdr:row>
      <xdr:rowOff>152400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5D51F91C-E48D-9EAA-5E89-6EDCC413BE1E}"/>
            </a:ext>
            <a:ext uri="{147F2762-F138-4A5C-976F-8EAC2B608ADB}">
              <a16:predDERef xmlns:a16="http://schemas.microsoft.com/office/drawing/2014/main" pred="{1F21AC6B-4F96-9C81-9362-8D2C5E3B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4517350" y="36385500"/>
          <a:ext cx="2667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201</xdr:row>
      <xdr:rowOff>9525</xdr:rowOff>
    </xdr:from>
    <xdr:to>
      <xdr:col>22</xdr:col>
      <xdr:colOff>314325</xdr:colOff>
      <xdr:row>201</xdr:row>
      <xdr:rowOff>142875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8211AF34-6B9C-BB14-130F-D45942CF1E23}"/>
            </a:ext>
            <a:ext uri="{147F2762-F138-4A5C-976F-8EAC2B608ADB}">
              <a16:predDERef xmlns:a16="http://schemas.microsoft.com/office/drawing/2014/main" pred="{5D51F91C-E48D-9EAA-5E89-6EDCC413B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4517350" y="36566475"/>
          <a:ext cx="31432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202</xdr:row>
      <xdr:rowOff>9525</xdr:rowOff>
    </xdr:from>
    <xdr:to>
      <xdr:col>22</xdr:col>
      <xdr:colOff>257175</xdr:colOff>
      <xdr:row>202</xdr:row>
      <xdr:rowOff>133350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C9458FB0-36E0-E9C0-3754-3A5C75BFB480}"/>
            </a:ext>
            <a:ext uri="{147F2762-F138-4A5C-976F-8EAC2B608ADB}">
              <a16:predDERef xmlns:a16="http://schemas.microsoft.com/office/drawing/2014/main" pred="{8211AF34-6B9C-BB14-130F-D45942CF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4536400" y="36747450"/>
          <a:ext cx="238125" cy="123825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203</xdr:row>
      <xdr:rowOff>0</xdr:rowOff>
    </xdr:from>
    <xdr:to>
      <xdr:col>22</xdr:col>
      <xdr:colOff>323850</xdr:colOff>
      <xdr:row>203</xdr:row>
      <xdr:rowOff>152400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36A1B5E5-E24C-5CD9-70EE-DDBBEFEB9408}"/>
            </a:ext>
            <a:ext uri="{147F2762-F138-4A5C-976F-8EAC2B608ADB}">
              <a16:predDERef xmlns:a16="http://schemas.microsoft.com/office/drawing/2014/main" pred="{C9458FB0-36E0-E9C0-3754-3A5C75BF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4526875" y="36918900"/>
          <a:ext cx="3143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204</xdr:row>
      <xdr:rowOff>0</xdr:rowOff>
    </xdr:from>
    <xdr:to>
      <xdr:col>22</xdr:col>
      <xdr:colOff>285750</xdr:colOff>
      <xdr:row>204</xdr:row>
      <xdr:rowOff>152400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F2C9866E-218B-D3A9-C5C4-845F86971029}"/>
            </a:ext>
            <a:ext uri="{147F2762-F138-4A5C-976F-8EAC2B608ADB}">
              <a16:predDERef xmlns:a16="http://schemas.microsoft.com/office/drawing/2014/main" pred="{36A1B5E5-E24C-5CD9-70EE-DDBBEFEB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4517350" y="37099875"/>
          <a:ext cx="2857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205</xdr:row>
      <xdr:rowOff>9525</xdr:rowOff>
    </xdr:from>
    <xdr:to>
      <xdr:col>22</xdr:col>
      <xdr:colOff>276225</xdr:colOff>
      <xdr:row>205</xdr:row>
      <xdr:rowOff>152400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97CA531D-E84D-A506-FCF5-46D8127DE690}"/>
            </a:ext>
            <a:ext uri="{147F2762-F138-4A5C-976F-8EAC2B608ADB}">
              <a16:predDERef xmlns:a16="http://schemas.microsoft.com/office/drawing/2014/main" pred="{F2C9866E-218B-D3A9-C5C4-845F8697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4526875" y="37290375"/>
          <a:ext cx="266700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206</xdr:row>
      <xdr:rowOff>0</xdr:rowOff>
    </xdr:from>
    <xdr:to>
      <xdr:col>22</xdr:col>
      <xdr:colOff>276225</xdr:colOff>
      <xdr:row>206</xdr:row>
      <xdr:rowOff>152400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A971EA13-8530-513D-F904-5FFBC49DF802}"/>
            </a:ext>
            <a:ext uri="{147F2762-F138-4A5C-976F-8EAC2B608ADB}">
              <a16:predDERef xmlns:a16="http://schemas.microsoft.com/office/drawing/2014/main" pred="{97CA531D-E84D-A506-FCF5-46D8127DE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4517350" y="37461825"/>
          <a:ext cx="2762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207</xdr:row>
      <xdr:rowOff>9525</xdr:rowOff>
    </xdr:from>
    <xdr:to>
      <xdr:col>22</xdr:col>
      <xdr:colOff>247650</xdr:colOff>
      <xdr:row>207</xdr:row>
      <xdr:rowOff>161925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B7D89815-3408-6AD5-32F4-CE5A0F3AD340}"/>
            </a:ext>
            <a:ext uri="{147F2762-F138-4A5C-976F-8EAC2B608ADB}">
              <a16:predDERef xmlns:a16="http://schemas.microsoft.com/office/drawing/2014/main" pred="{A971EA13-8530-513D-F904-5FFBC49D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4517350" y="37652325"/>
          <a:ext cx="2476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208</xdr:row>
      <xdr:rowOff>9525</xdr:rowOff>
    </xdr:from>
    <xdr:to>
      <xdr:col>22</xdr:col>
      <xdr:colOff>247650</xdr:colOff>
      <xdr:row>208</xdr:row>
      <xdr:rowOff>161925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7DE1E859-8E4D-5529-18BB-E8F572251382}"/>
            </a:ext>
            <a:ext uri="{147F2762-F138-4A5C-976F-8EAC2B608ADB}">
              <a16:predDERef xmlns:a16="http://schemas.microsoft.com/office/drawing/2014/main" pred="{B7D89815-3408-6AD5-32F4-CE5A0F3A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4517350" y="37833300"/>
          <a:ext cx="247650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209</xdr:row>
      <xdr:rowOff>9525</xdr:rowOff>
    </xdr:from>
    <xdr:to>
      <xdr:col>22</xdr:col>
      <xdr:colOff>257175</xdr:colOff>
      <xdr:row>209</xdr:row>
      <xdr:rowOff>152400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7D8E6F9E-F957-78D2-0EF3-144A38C2E727}"/>
            </a:ext>
            <a:ext uri="{147F2762-F138-4A5C-976F-8EAC2B608ADB}">
              <a16:predDERef xmlns:a16="http://schemas.microsoft.com/office/drawing/2014/main" pred="{7DE1E859-8E4D-5529-18BB-E8F572251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4536400" y="38014275"/>
          <a:ext cx="238125" cy="142875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246</xdr:row>
      <xdr:rowOff>0</xdr:rowOff>
    </xdr:from>
    <xdr:to>
      <xdr:col>22</xdr:col>
      <xdr:colOff>257175</xdr:colOff>
      <xdr:row>246</xdr:row>
      <xdr:rowOff>133350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FB0AA1DD-03BA-26AD-8B89-EE5D28912A3C}"/>
            </a:ext>
            <a:ext uri="{147F2762-F138-4A5C-976F-8EAC2B608ADB}">
              <a16:predDERef xmlns:a16="http://schemas.microsoft.com/office/drawing/2014/main" pred="{7D8E6F9E-F957-78D2-0EF3-144A38C2E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4526875" y="44700825"/>
          <a:ext cx="247650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</xdr:colOff>
      <xdr:row>247</xdr:row>
      <xdr:rowOff>9525</xdr:rowOff>
    </xdr:from>
    <xdr:to>
      <xdr:col>22</xdr:col>
      <xdr:colOff>200025</xdr:colOff>
      <xdr:row>247</xdr:row>
      <xdr:rowOff>142875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33D304F2-E307-AA76-3564-7498D423A69A}"/>
            </a:ext>
            <a:ext uri="{147F2762-F138-4A5C-976F-8EAC2B608ADB}">
              <a16:predDERef xmlns:a16="http://schemas.microsoft.com/office/drawing/2014/main" pred="{FB0AA1DD-03BA-26AD-8B89-EE5D2891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4536400" y="448913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248</xdr:row>
      <xdr:rowOff>9525</xdr:rowOff>
    </xdr:from>
    <xdr:to>
      <xdr:col>22</xdr:col>
      <xdr:colOff>228600</xdr:colOff>
      <xdr:row>248</xdr:row>
      <xdr:rowOff>142875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C1AF36BF-20C3-E82A-301F-3ED152D73243}"/>
            </a:ext>
            <a:ext uri="{147F2762-F138-4A5C-976F-8EAC2B608ADB}">
              <a16:predDERef xmlns:a16="http://schemas.microsoft.com/office/drawing/2014/main" pred="{33D304F2-E307-AA76-3564-7498D423A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4526875" y="45072300"/>
          <a:ext cx="219075" cy="13335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273</xdr:row>
      <xdr:rowOff>0</xdr:rowOff>
    </xdr:from>
    <xdr:to>
      <xdr:col>22</xdr:col>
      <xdr:colOff>190500</xdr:colOff>
      <xdr:row>273</xdr:row>
      <xdr:rowOff>152400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20D1D0BF-EF89-4477-5ED7-3EDF03FD3695}"/>
            </a:ext>
            <a:ext uri="{147F2762-F138-4A5C-976F-8EAC2B608ADB}">
              <a16:predDERef xmlns:a16="http://schemas.microsoft.com/office/drawing/2014/main" pred="{C1AF36BF-20C3-E82A-301F-3ED152D73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4545925" y="49587150"/>
          <a:ext cx="161925" cy="1524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274</xdr:row>
      <xdr:rowOff>9525</xdr:rowOff>
    </xdr:from>
    <xdr:to>
      <xdr:col>22</xdr:col>
      <xdr:colOff>180975</xdr:colOff>
      <xdr:row>274</xdr:row>
      <xdr:rowOff>142875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5FF39A60-6D7A-EBA8-1EBF-9BB63C994333}"/>
            </a:ext>
            <a:ext uri="{147F2762-F138-4A5C-976F-8EAC2B608ADB}">
              <a16:predDERef xmlns:a16="http://schemas.microsoft.com/office/drawing/2014/main" pred="{20D1D0BF-EF89-4477-5ED7-3EDF03FD3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4545925" y="49777650"/>
          <a:ext cx="152400" cy="133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 xml:space="preserve">Box 8000 1.0 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 xml:space="preserve">Alto Pod 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 2P</v>
          </cell>
          <cell r="B16" t="str">
            <v>HP</v>
          </cell>
        </row>
        <row r="17">
          <cell r="A17" t="str">
            <v>X3 Core</v>
          </cell>
          <cell r="B17" t="str">
            <v>HP</v>
          </cell>
        </row>
        <row r="18">
          <cell r="A18" t="str">
            <v>X3 Pro</v>
          </cell>
          <cell r="B18" t="str">
            <v>HP</v>
          </cell>
        </row>
        <row r="19">
          <cell r="A19" t="str">
            <v>Artemis 1P</v>
          </cell>
          <cell r="B19" t="str">
            <v>HP</v>
          </cell>
        </row>
        <row r="20">
          <cell r="A20" t="str">
            <v>Artemis 2P</v>
          </cell>
          <cell r="B20" t="str">
            <v>HP</v>
          </cell>
        </row>
        <row r="21">
          <cell r="A21" t="str">
            <v>Artemis BRUSH</v>
          </cell>
          <cell r="B21" t="str">
            <v>HP</v>
          </cell>
        </row>
        <row r="22">
          <cell r="A22" t="str">
            <v>Artemis 1.1 CORE</v>
          </cell>
          <cell r="B22" t="str">
            <v>HP</v>
          </cell>
        </row>
        <row r="23">
          <cell r="A23" t="str">
            <v>Artemis 1.1 PRO</v>
          </cell>
          <cell r="B23" t="str">
            <v>HP</v>
          </cell>
        </row>
        <row r="24">
          <cell r="A24" t="str">
            <v>Clyde POD</v>
          </cell>
          <cell r="B24" t="str">
            <v>HP</v>
          </cell>
        </row>
        <row r="25">
          <cell r="A25" t="str">
            <v>Clyde RCS DEVICE</v>
          </cell>
          <cell r="B25" t="str">
            <v>HP</v>
          </cell>
        </row>
        <row r="26">
          <cell r="A26" t="str">
            <v>Bacchus</v>
          </cell>
          <cell r="B26" t="str">
            <v>HP</v>
          </cell>
        </row>
        <row r="27">
          <cell r="A27" t="str">
            <v>Adonis 1P</v>
          </cell>
          <cell r="B27" t="str">
            <v>HP</v>
          </cell>
        </row>
        <row r="28">
          <cell r="A28" t="str">
            <v>Adonis 2P</v>
          </cell>
          <cell r="B28" t="str">
            <v>HP</v>
          </cell>
        </row>
        <row r="29">
          <cell r="A29" t="str">
            <v>1K BOX ESG</v>
          </cell>
          <cell r="B29" t="str">
            <v>MODI</v>
          </cell>
        </row>
        <row r="30">
          <cell r="A30" t="str">
            <v>1K BOX SEMI</v>
          </cell>
          <cell r="B30" t="str">
            <v>MODI</v>
          </cell>
        </row>
        <row r="31">
          <cell r="A31" t="str">
            <v>HYPER BESPOKE</v>
          </cell>
          <cell r="B31" t="str">
            <v>HP</v>
          </cell>
        </row>
        <row r="32">
          <cell r="A32" t="str">
            <v>X2</v>
          </cell>
          <cell r="B32" t="str">
            <v>HP</v>
          </cell>
        </row>
        <row r="33">
          <cell r="A33" t="str">
            <v>X2 Air</v>
          </cell>
          <cell r="B33" t="str">
            <v>HP</v>
          </cell>
        </row>
        <row r="34">
          <cell r="A34" t="str">
            <v>Modi Max</v>
          </cell>
          <cell r="B34" t="str">
            <v>MODI</v>
          </cell>
        </row>
        <row r="35">
          <cell r="A35" t="str">
            <v>Hestia 1.0</v>
          </cell>
          <cell r="B35" t="str">
            <v>RCS POD</v>
          </cell>
        </row>
        <row r="36">
          <cell r="A36" t="str">
            <v>Alto PUK</v>
          </cell>
          <cell r="B36" t="str">
            <v>RCS POD</v>
          </cell>
        </row>
        <row r="37">
          <cell r="A37" t="str">
            <v>ePod 1</v>
          </cell>
          <cell r="B37" t="str">
            <v>RCS POD</v>
          </cell>
        </row>
        <row r="38">
          <cell r="A38" t="str">
            <v>ePod 2</v>
          </cell>
          <cell r="B38" t="str">
            <v>RCS POD</v>
          </cell>
        </row>
        <row r="39">
          <cell r="A39" t="str">
            <v>ePod 2+</v>
          </cell>
          <cell r="B39" t="str">
            <v>RCS POD</v>
          </cell>
        </row>
        <row r="40">
          <cell r="A40" t="str">
            <v>ePod 3</v>
          </cell>
          <cell r="B40" t="str">
            <v>RCS POD</v>
          </cell>
        </row>
        <row r="41">
          <cell r="A41" t="str">
            <v>ePod 3+</v>
          </cell>
          <cell r="B41" t="str">
            <v>RCS POD</v>
          </cell>
        </row>
        <row r="42">
          <cell r="A42" t="str">
            <v>ePod2 Catridges</v>
          </cell>
          <cell r="B42">
            <v>0</v>
          </cell>
        </row>
        <row r="43">
          <cell r="A43" t="str">
            <v>ePod2 device(Wave1)</v>
          </cell>
          <cell r="B43" t="str">
            <v>RCS DEVICE</v>
          </cell>
        </row>
        <row r="44">
          <cell r="A44" t="str">
            <v>ePod2+ device</v>
          </cell>
          <cell r="B44" t="str">
            <v>RCS DEVICE</v>
          </cell>
        </row>
        <row r="45">
          <cell r="A45" t="str">
            <v>ePod 3 Device</v>
          </cell>
          <cell r="B45" t="str">
            <v>RCS DEVICE</v>
          </cell>
        </row>
        <row r="46">
          <cell r="A46" t="str">
            <v>ePod 3 descope</v>
          </cell>
          <cell r="B46">
            <v>0</v>
          </cell>
        </row>
        <row r="47">
          <cell r="A47" t="str">
            <v>ePod 3+ Device</v>
          </cell>
          <cell r="B47" t="str">
            <v>RCS DEVICE</v>
          </cell>
        </row>
        <row r="48">
          <cell r="A48" t="str">
            <v>KUMA E-Box NZ</v>
          </cell>
          <cell r="B48" t="str">
            <v>RCS DEVICE</v>
          </cell>
        </row>
        <row r="49">
          <cell r="A49" t="str">
            <v>KUMA E-Box ROW</v>
          </cell>
          <cell r="B49" t="str">
            <v>RCS DEVICE</v>
          </cell>
        </row>
        <row r="50">
          <cell r="A50" t="str">
            <v>KUMA E-Pen 1.0 ROW</v>
          </cell>
          <cell r="B50" t="str">
            <v>RCS DEVICE</v>
          </cell>
        </row>
        <row r="51">
          <cell r="A51" t="str">
            <v>US Aquila</v>
          </cell>
          <cell r="B51" t="str">
            <v>RCS DEVICE</v>
          </cell>
        </row>
        <row r="52">
          <cell r="A52" t="str">
            <v>MIMOSA 1.0</v>
          </cell>
          <cell r="B52" t="str">
            <v>RCS DEVICE</v>
          </cell>
        </row>
        <row r="53">
          <cell r="A53" t="str">
            <v>MIMOSA 1.0 US</v>
          </cell>
          <cell r="B53" t="str">
            <v>RCS DEVICE</v>
          </cell>
        </row>
        <row r="54">
          <cell r="A54" t="str">
            <v>HESTIA XL US (Smart) 2ml / 2.4ml</v>
          </cell>
          <cell r="B54" t="str">
            <v>RCS POD</v>
          </cell>
        </row>
        <row r="55">
          <cell r="A55" t="str">
            <v>HESTIA 1.1 (non smart)</v>
          </cell>
          <cell r="B55" t="str">
            <v>RCS POD</v>
          </cell>
        </row>
        <row r="56">
          <cell r="A56" t="str">
            <v>HESTIA 1.1 (smart)</v>
          </cell>
          <cell r="B56" t="str">
            <v>RCS POD</v>
          </cell>
        </row>
        <row r="57">
          <cell r="A57" t="str">
            <v>KUMA-E 2.0 Pen</v>
          </cell>
          <cell r="B57" t="str">
            <v>RCS DEVICE</v>
          </cell>
        </row>
        <row r="58">
          <cell r="A58" t="str">
            <v>KUMA-E 2.0 BOX</v>
          </cell>
          <cell r="B58" t="str">
            <v>RCS DEVICE</v>
          </cell>
        </row>
        <row r="59">
          <cell r="A59" t="str">
            <v>ePod4+ (Pre-POP Study)</v>
          </cell>
          <cell r="B59" t="str">
            <v>RCS DEVICE</v>
          </cell>
        </row>
        <row r="60">
          <cell r="A60" t="str">
            <v>HESTIA MAX (smart)</v>
          </cell>
          <cell r="B60" t="str">
            <v>RCS POD</v>
          </cell>
        </row>
        <row r="61">
          <cell r="A61" t="str">
            <v>HESTIA MAX (non smart)</v>
          </cell>
          <cell r="B61" t="str">
            <v>RCS POD</v>
          </cell>
        </row>
        <row r="62">
          <cell r="A62" t="str">
            <v>KUMA MAX</v>
          </cell>
          <cell r="B62" t="str">
            <v>RCS DEVICE</v>
          </cell>
        </row>
        <row r="63">
          <cell r="A63" t="str">
            <v>MIMOSA MAX</v>
          </cell>
          <cell r="B63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 Fang" id="{F915BB36-E4AA-4CD7-A973-FB84A75B96E0}" userId="S::85145804@bat.com::84af930e-704e-40fb-8a9f-aacedf9d0381" providerId="AD"/>
  <person displayName="Charlie Ma" id="{A6F1F21E-D63C-44C7-80D5-2A6DA0F1CD7C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-my.sharepoint.com/personal/85204634_bat_com/Documents/Information%20list/Data%20collect/Modi%202.0--Vuse%20Go%202.0%20Capex%20total%20list%2011042024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ie Ma" refreshedDate="45614.489543171294" createdVersion="8" refreshedVersion="8" minRefreshableVersion="3" recordCount="136">
  <cacheSource type="worksheet">
    <worksheetSource ref="A1:U137" sheet="Sheet7"/>
  </cacheSource>
  <cacheFields count="21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130040670017656" maxValue="130040670043029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/>
    </cacheField>
    <cacheField name="Data Submit Date" numFmtId="14">
      <sharedItems/>
    </cacheField>
    <cacheField name="Cavity" numFmtId="0">
      <sharedItems containsSemiMixedTypes="0" containsString="0" containsNumber="1" containsInteger="1" minValue="2" maxValue="48"/>
    </cacheField>
    <cacheField name="Tooling Capacity Per Month" numFmtId="3">
      <sharedItems containsString="0" containsBlank="1" containsNumber="1" minValue="922833.60000000009" maxValue="2935296"/>
    </cacheField>
    <cacheField name="Total Capacity Per Month" numFmtId="3">
      <sharedItems containsSemiMixedTypes="0" containsString="0" containsNumber="1" minValue="0" maxValue="10298264"/>
    </cacheField>
    <cacheField name="Tooling life" numFmtId="3">
      <sharedItems/>
    </cacheField>
    <cacheField name="Tool type" numFmtId="0">
      <sharedItems count="4">
        <s v="Soft tool EC"/>
        <s v="Hard tool EC"/>
        <s v="Soft tool"/>
        <s v="Hard tool"/>
      </sharedItems>
    </cacheField>
    <cacheField name="Kick off date" numFmtId="14">
      <sharedItems containsSemiMixedTypes="0" containsNonDate="0" containsDate="1" containsString="0" minDate="2023-09-27T00:00:00" maxDate="2024-11-02T00:00:00"/>
    </cacheField>
    <cacheField name="Tool Unit cost" numFmtId="179">
      <sharedItems containsSemiMixedTypes="0" containsString="0" containsNumber="1" minValue="1061.9469026548672" maxValue="1100000"/>
    </cacheField>
    <cacheField name="Q'ty" numFmtId="0">
      <sharedItems containsSemiMixedTypes="0" containsString="0" containsNumber="1" containsInteger="1" minValue="1" maxValue="5"/>
    </cacheField>
    <cacheField name="Total Tool cost" numFmtId="179">
      <sharedItems containsSemiMixedTypes="0" containsString="0" containsNumber="1" minValue="1061.9469026548672" maxValue="4200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harlie Ma" refreshedDate="45614.492753472223" createdVersion="8" refreshedVersion="8" minRefreshableVersion="3" recordCount="136">
  <cacheSource type="worksheet">
    <worksheetSource ref="A1:O137" sheet="Sheet2" r:id="rId2"/>
  </cacheSource>
  <cacheFields count="15">
    <cacheField name="Project" numFmtId="182">
      <sharedItems/>
    </cacheField>
    <cacheField name="Part Name" numFmtId="0">
      <sharedItems/>
    </cacheField>
    <cacheField name="Part No." numFmtId="183">
      <sharedItems containsMixedTypes="1" containsNumber="1" containsInteger="1" minValue="130040670017656" maxValue="130040670043029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/>
    </cacheField>
    <cacheField name="Tool type" numFmtId="0">
      <sharedItems count="4">
        <s v="Soft tool EC"/>
        <s v="Hard tool EC"/>
        <s v="Soft tool"/>
        <s v="Hard tool"/>
      </sharedItems>
    </cacheField>
    <cacheField name="Kick off date" numFmtId="14">
      <sharedItems containsSemiMixedTypes="0" containsNonDate="0" containsDate="1" containsString="0" minDate="2023-09-27T00:00:00" maxDate="2024-09-27T00:00:00"/>
    </cacheField>
    <cacheField name="Tool Unit cost" numFmtId="209">
      <sharedItems containsSemiMixedTypes="0" containsString="0" containsNumber="1" minValue="1061.9469026548672" maxValue="1100000"/>
    </cacheField>
    <cacheField name="Q'ty" numFmtId="0">
      <sharedItems containsSemiMixedTypes="0" containsString="0" containsNumber="1" containsInteger="1" minValue="1" maxValue="5"/>
    </cacheField>
    <cacheField name="Total Tool cost" numFmtId="209">
      <sharedItems containsSemiMixedTypes="0" containsString="0" containsNumber="1" minValue="1061.9469026548672" maxValue="4200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Charlie Ma" refreshedDate="45677.824899652776" createdVersion="8" refreshedVersion="8" minRefreshableVersion="3" recordCount="280">
  <cacheSource type="worksheet">
    <worksheetSource ref="A5:V285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353003231" maxValue="230000960202007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12T00:00:00" maxDate="2025-01-04T00:00:00"/>
    </cacheField>
    <cacheField name="Cavity" numFmtId="0">
      <sharedItems containsMixedTypes="1" containsNumber="1" containsInteger="1" minValue="2" maxValue="48"/>
    </cacheField>
    <cacheField name="Tooling Capacity Per Month" numFmtId="0">
      <sharedItems containsString="0" containsBlank="1" containsNumber="1" minValue="92040" maxValue="3431215"/>
    </cacheField>
    <cacheField name="Total Capacity Per Month" numFmtId="3">
      <sharedItems containsString="0" containsBlank="1" containsNumber="1" minValue="0" maxValue="14826240"/>
    </cacheField>
    <cacheField name="Tooling life" numFmtId="3">
      <sharedItems containsSemiMixedTypes="0" containsString="0" containsNumber="1" containsInteger="1" minValue="50000" maxValue="1000000"/>
    </cacheField>
    <cacheField name="Tool type" numFmtId="0">
      <sharedItems count="4">
        <s v="Soft tool EC"/>
        <s v="Hard tool EC"/>
        <s v="Soft tool"/>
        <s v="Hard tool"/>
      </sharedItems>
    </cacheField>
    <cacheField name="Kick off date" numFmtId="0">
      <sharedItems containsSemiMixedTypes="0" containsNonDate="0" containsDate="1" containsString="0" minDate="2022-03-01T00:00:00" maxDate="2024-12-03T00:00:00"/>
    </cacheField>
    <cacheField name="Tool Unit cost" numFmtId="179">
      <sharedItems containsString="0" containsBlank="1" containsNumber="1" minValue="1061.9469026548672" maxValue="1178696.8"/>
    </cacheField>
    <cacheField name="Q'ty" numFmtId="0">
      <sharedItems containsSemiMixedTypes="0" containsString="0" containsNumber="1" containsInteger="1" minValue="1" maxValue="8"/>
    </cacheField>
    <cacheField name="Total Tool cost" numFmtId="179">
      <sharedItems containsString="0" containsBlank="1" containsNumber="1" minValue="1061.9469026548672" maxValue="8913207"/>
    </cacheField>
    <cacheField name="Requested by Whom" numFmtId="0">
      <sharedItems containsBlank="1"/>
    </cacheField>
    <cacheField name="Approval Status" numFmtId="0">
      <sharedItems containsBlank="1"/>
    </cacheField>
    <cacheField name="Payment Status" numFmtId="0">
      <sharedItems containsBlank="1"/>
    </cacheField>
    <cacheField name="Re3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Box 800 Full 2.0"/>
    <s v="MODI"/>
    <s v="Inner bracket"/>
    <n v="130040670023899"/>
    <s v="TK"/>
    <n v="2024"/>
    <s v="JAN"/>
    <s v="Nov.12.2024"/>
    <n v="2"/>
    <m/>
    <n v="0"/>
    <s v="50000 Shot"/>
    <x v="0"/>
    <d v="2024-01-03T00:00:00"/>
    <n v="16106"/>
    <n v="1"/>
    <n v="16106"/>
    <s v="Chris"/>
    <s v="Approved"/>
    <s v="No"/>
    <m/>
  </r>
  <r>
    <s v="Box 5000 Full 2.0"/>
    <s v="MODI"/>
    <s v="Inner bracket"/>
    <n v="130040670023440"/>
    <s v="TK"/>
    <n v="2024"/>
    <s v="JAN"/>
    <s v="Nov.12.2024"/>
    <n v="2"/>
    <m/>
    <n v="0"/>
    <s v="50000 Shot"/>
    <x v="0"/>
    <d v="2024-01-03T00:00:00"/>
    <n v="16106"/>
    <n v="1"/>
    <n v="16106"/>
    <s v="Chris"/>
    <s v="Approved"/>
    <s v="No"/>
    <m/>
  </r>
  <r>
    <s v="Box 800 Default 2.0"/>
    <s v="MODI"/>
    <s v="Cartridge tank"/>
    <n v="130040670018928"/>
    <s v="TK"/>
    <n v="2024"/>
    <s v="JAN"/>
    <s v="Nov.12.2024"/>
    <n v="16"/>
    <n v="1067040"/>
    <n v="1067040"/>
    <s v="1000000 Shot"/>
    <x v="1"/>
    <d v="2024-01-04T00:00:00"/>
    <n v="8442.4778761062007"/>
    <n v="1"/>
    <n v="8442.4778761062007"/>
    <s v="Chris"/>
    <s v="Approved"/>
    <s v="No"/>
    <m/>
  </r>
  <r>
    <s v="Box 5000 Full 2.0"/>
    <s v="MODI"/>
    <s v="Inner bracket"/>
    <n v="130040670023440"/>
    <s v="TK"/>
    <n v="2024"/>
    <s v="JAN"/>
    <s v="Nov.12.2024"/>
    <n v="2"/>
    <m/>
    <n v="0"/>
    <s v="50000 Shot"/>
    <x v="0"/>
    <d v="2024-01-07T00:00:00"/>
    <n v="8053.09734513274"/>
    <n v="1"/>
    <n v="8053.09734513274"/>
    <s v="Chris"/>
    <s v="Approved"/>
    <s v="No"/>
    <m/>
  </r>
  <r>
    <s v="Box 5000 Full 2.0"/>
    <s v="MODI"/>
    <s v="Cartridge tank"/>
    <n v="130040670023444"/>
    <s v="TK"/>
    <n v="2024"/>
    <s v="JAN"/>
    <s v="Nov.12.2024"/>
    <n v="2"/>
    <m/>
    <n v="0"/>
    <s v="50000 Shot"/>
    <x v="0"/>
    <d v="2024-01-09T00:00:00"/>
    <n v="3539.8230088495602"/>
    <n v="1"/>
    <n v="3539.8230088495602"/>
    <s v="Chris"/>
    <s v="Approved"/>
    <s v="No"/>
    <m/>
  </r>
  <r>
    <s v="Box 5000 Full 2.0"/>
    <s v="MODI"/>
    <s v="Heating holder"/>
    <n v="130040670023448"/>
    <s v="TK"/>
    <n v="2024"/>
    <s v="JAN"/>
    <s v="Nov.12.2024"/>
    <n v="2"/>
    <m/>
    <n v="0"/>
    <s v="50000 Shot"/>
    <x v="0"/>
    <d v="2024-01-17T00:00:00"/>
    <n v="5752.2123893805301"/>
    <n v="1"/>
    <n v="5752.2123893805301"/>
    <s v="Chris"/>
    <s v="Approved"/>
    <s v="No"/>
    <m/>
  </r>
  <r>
    <s v="Box 5000 Full 2.0"/>
    <s v="MODI"/>
    <s v="Bottom cover"/>
    <n v="130040670023442"/>
    <s v="TK"/>
    <n v="2024"/>
    <s v="JAN"/>
    <s v="Nov.12.2024"/>
    <n v="2"/>
    <m/>
    <n v="0"/>
    <s v="50000 Shot"/>
    <x v="0"/>
    <d v="2024-01-17T00:00:00"/>
    <n v="2212.3893805309699"/>
    <n v="1"/>
    <n v="2212.3893805309699"/>
    <s v="Chris"/>
    <s v="Approved"/>
    <s v="No"/>
    <m/>
  </r>
  <r>
    <s v="Box 800 Full 2.0"/>
    <s v="MODI"/>
    <s v="Battery top cover"/>
    <n v="130040670039455"/>
    <s v="TK"/>
    <n v="2024"/>
    <s v="JAN"/>
    <s v="Nov.12.2024"/>
    <n v="2"/>
    <m/>
    <n v="0"/>
    <s v="50000 Shot"/>
    <x v="0"/>
    <d v="2024-01-22T00:00:00"/>
    <n v="11061.9469026549"/>
    <n v="1"/>
    <n v="11061.9469026549"/>
    <s v="Chris"/>
    <s v="Approved"/>
    <s v="No"/>
    <m/>
  </r>
  <r>
    <s v="Box 800 Full 2.0"/>
    <s v="MODI"/>
    <s v="Bottom cover"/>
    <n v="130040670023900"/>
    <s v="TK"/>
    <n v="2024"/>
    <s v="JAN"/>
    <s v="Nov.12.2024"/>
    <n v="2"/>
    <m/>
    <n v="0"/>
    <s v="50000 Shot"/>
    <x v="0"/>
    <d v="2024-01-22T00:00:00"/>
    <n v="8672.5663716814197"/>
    <n v="1"/>
    <n v="8672.5663716814197"/>
    <s v="Chris"/>
    <s v="Approved"/>
    <s v="No"/>
    <m/>
  </r>
  <r>
    <s v="Box 800 Full 2.0"/>
    <s v="MODI"/>
    <s v="PCB_BRACKET"/>
    <n v="130040670023906"/>
    <s v="TK"/>
    <n v="2024"/>
    <s v="JAN"/>
    <s v="Nov.12.2024"/>
    <n v="2"/>
    <m/>
    <n v="0"/>
    <s v="50000 Shot"/>
    <x v="0"/>
    <d v="2024-01-22T00:00:00"/>
    <n v="3805"/>
    <n v="1"/>
    <n v="3805"/>
    <s v="Chris"/>
    <s v="Approved"/>
    <s v="No"/>
    <m/>
  </r>
  <r>
    <s v="Box 800 Full 2.0"/>
    <s v="MODI"/>
    <s v="Battery bottom cover"/>
    <n v="130040670039442"/>
    <s v="TK"/>
    <n v="2024"/>
    <s v="JAN"/>
    <s v="Nov.12.2024"/>
    <n v="2"/>
    <m/>
    <n v="0"/>
    <s v="50000 Shot"/>
    <x v="0"/>
    <d v="2024-01-22T00:00:00"/>
    <n v="13717"/>
    <n v="1"/>
    <n v="13717"/>
    <s v="Chris"/>
    <s v="Approved"/>
    <s v="No"/>
    <m/>
  </r>
  <r>
    <s v="Box 800 Full 2.0"/>
    <s v="MODI"/>
    <s v="Inner bracket"/>
    <n v="130040670023899"/>
    <s v="TK"/>
    <n v="2024"/>
    <s v="JAN"/>
    <s v="Nov.12.2024"/>
    <n v="2"/>
    <m/>
    <n v="0"/>
    <s v="50000 Shot"/>
    <x v="0"/>
    <d v="2024-01-22T00:00:00"/>
    <n v="20796"/>
    <n v="1"/>
    <n v="20796"/>
    <s v="Chris"/>
    <s v="Approved"/>
    <s v="No"/>
    <m/>
  </r>
  <r>
    <s v="Box 5000 Full 2.0"/>
    <s v="MODI"/>
    <s v="Inner bracket"/>
    <n v="130040670023440"/>
    <s v="TK"/>
    <n v="2024"/>
    <s v="FEB"/>
    <s v="Nov.12.2024"/>
    <n v="2"/>
    <m/>
    <n v="0"/>
    <s v="50000 Shot"/>
    <x v="0"/>
    <d v="2024-02-19T00:00:00"/>
    <n v="12831.858407079601"/>
    <n v="1"/>
    <n v="12831.858407079601"/>
    <s v="Chris"/>
    <s v="Approved"/>
    <s v="No"/>
    <m/>
  </r>
  <r>
    <s v="Box 800 Full 2.0"/>
    <s v="MODI"/>
    <s v="Battery top cover"/>
    <n v="130040670039455"/>
    <s v="TK"/>
    <n v="2024"/>
    <s v="FEB"/>
    <s v="Nov.12.2024"/>
    <n v="2"/>
    <m/>
    <n v="0"/>
    <s v="50000 Shot"/>
    <x v="0"/>
    <d v="2024-02-19T00:00:00"/>
    <n v="7964.60176991151"/>
    <n v="1"/>
    <n v="7964.60176991151"/>
    <s v="Chris"/>
    <s v="Approved"/>
    <s v="No"/>
    <m/>
  </r>
  <r>
    <s v="Box 800 Full 2.0"/>
    <s v="MODI"/>
    <s v="PCB BRACKET"/>
    <n v="130040670023906"/>
    <s v="TK"/>
    <n v="2024"/>
    <s v="FEB"/>
    <s v="Nov.12.2024"/>
    <n v="2"/>
    <m/>
    <n v="0"/>
    <s v="50000 Shot"/>
    <x v="0"/>
    <d v="2024-02-19T00:00:00"/>
    <n v="2477.8761061946898"/>
    <n v="1"/>
    <n v="2477.8761061946898"/>
    <s v="Chris"/>
    <s v="Approved"/>
    <s v="No"/>
    <m/>
  </r>
  <r>
    <s v="Box 5000 Full 2.0"/>
    <s v="MODI"/>
    <s v="Inner bracket"/>
    <n v="130040670023440"/>
    <s v="TK"/>
    <n v="2024"/>
    <s v="FEB"/>
    <s v="Nov.12.2024"/>
    <n v="48"/>
    <n v="2029684.8"/>
    <n v="2029684.8"/>
    <s v="1000000 Shot"/>
    <x v="1"/>
    <d v="2024-02-19T00:00:00"/>
    <n v="33009"/>
    <n v="1"/>
    <n v="33009"/>
    <s v="Chris"/>
    <s v="Approved"/>
    <s v="No"/>
    <m/>
  </r>
  <r>
    <s v="Box 800 Full 2.0"/>
    <s v="MODI"/>
    <s v="Bottom cover"/>
    <n v="130040670023900"/>
    <s v="TK"/>
    <n v="2024"/>
    <s v="FEB"/>
    <s v="Nov.12.2024"/>
    <n v="2"/>
    <m/>
    <n v="0"/>
    <s v="50000 Shot"/>
    <x v="0"/>
    <d v="2024-02-19T00:00:00"/>
    <n v="3097.34513274336"/>
    <n v="1"/>
    <n v="3097.34513274336"/>
    <s v="Chris"/>
    <s v="Approved"/>
    <s v="No"/>
    <m/>
  </r>
  <r>
    <s v="Box 5000 Full 2.0"/>
    <s v="MODI"/>
    <s v="Inner bracket"/>
    <n v="130040670023440"/>
    <s v="TK"/>
    <n v="2024"/>
    <s v="FEB"/>
    <s v="Nov.12.2024"/>
    <n v="2"/>
    <m/>
    <n v="0"/>
    <s v="50000 Shot"/>
    <x v="0"/>
    <d v="2024-02-27T00:00:00"/>
    <n v="2389.3805309734498"/>
    <n v="1"/>
    <n v="2389.3805309734498"/>
    <s v="Chris"/>
    <s v="Approved"/>
    <s v="No"/>
    <m/>
  </r>
  <r>
    <s v="Box 5000 Full 2.0"/>
    <s v="MODI"/>
    <s v="Inner bracket"/>
    <n v="130040670023440"/>
    <s v="TK"/>
    <n v="2024"/>
    <s v="FEB"/>
    <s v="Nov.12.2024"/>
    <n v="2"/>
    <m/>
    <n v="0"/>
    <s v="50000 Shot"/>
    <x v="0"/>
    <d v="2024-02-27T00:00:00"/>
    <n v="16504"/>
    <n v="1"/>
    <n v="16504"/>
    <s v="Chris"/>
    <s v="Approved"/>
    <s v="No"/>
    <m/>
  </r>
  <r>
    <s v="Box 800 Full 2.0"/>
    <s v="MODI"/>
    <s v="Inner bracket"/>
    <n v="130040670023899"/>
    <s v="TK"/>
    <n v="2024"/>
    <s v="FEB"/>
    <s v="Nov.12.2024"/>
    <n v="2"/>
    <m/>
    <n v="0"/>
    <s v="50000 Shot"/>
    <x v="0"/>
    <d v="2024-02-27T00:00:00"/>
    <n v="2212.3893805309699"/>
    <n v="1"/>
    <n v="2212.3893805309699"/>
    <s v="Chris"/>
    <s v="Approved"/>
    <s v="No"/>
    <m/>
  </r>
  <r>
    <s v="Box 5000 Full 2.0"/>
    <s v="MODI"/>
    <s v="Heater top cover"/>
    <n v="130040670023445"/>
    <s v="TK"/>
    <n v="2024"/>
    <s v="FEB"/>
    <s v="Nov.12.2024"/>
    <n v="2"/>
    <m/>
    <n v="0"/>
    <s v="50000 Shot"/>
    <x v="0"/>
    <d v="2024-02-28T00:00:00"/>
    <n v="31858"/>
    <n v="1"/>
    <n v="31858"/>
    <s v="Chris"/>
    <s v="Approved"/>
    <s v="No"/>
    <m/>
  </r>
  <r>
    <s v="Box 800 Default 2.0"/>
    <s v="MODI"/>
    <s v="Heater top cover"/>
    <n v="130040670018929"/>
    <s v="TK"/>
    <n v="2024"/>
    <s v="MAR"/>
    <s v="Nov.12.2024"/>
    <n v="48"/>
    <n v="2490280"/>
    <n v="2490280"/>
    <s v="1000000 Shot"/>
    <x v="1"/>
    <d v="2024-03-11T00:00:00"/>
    <n v="23363"/>
    <n v="1"/>
    <n v="23363"/>
    <s v="Chris"/>
    <s v="Approved"/>
    <s v="No"/>
    <m/>
  </r>
  <r>
    <s v="Box 800 Full 2.0"/>
    <s v="MODI"/>
    <s v="Battery top cover"/>
    <n v="130040670039455"/>
    <s v="TK"/>
    <n v="2024"/>
    <s v="MAR"/>
    <s v="Nov.12.2024"/>
    <n v="48"/>
    <m/>
    <n v="0"/>
    <s v="1000000 Shot"/>
    <x v="1"/>
    <d v="2024-03-21T00:00:00"/>
    <n v="34159"/>
    <n v="1"/>
    <n v="34159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48"/>
    <m/>
    <n v="0"/>
    <s v="1000000 Shot"/>
    <x v="1"/>
    <d v="2024-03-21T00:00:00"/>
    <n v="33363"/>
    <n v="1"/>
    <n v="33363"/>
    <s v="Chris"/>
    <s v="Approved"/>
    <s v="No"/>
    <m/>
  </r>
  <r>
    <s v="Box 800 Default 2.0"/>
    <s v="MODI"/>
    <s v="Bottom cover"/>
    <n v="130040670018919"/>
    <s v="TK"/>
    <n v="2024"/>
    <s v="MAR"/>
    <s v="Nov.12.2024"/>
    <n v="48"/>
    <n v="1969920"/>
    <n v="1969920"/>
    <s v="1000000 Shot"/>
    <x v="1"/>
    <d v="2024-03-25T00:00:00"/>
    <n v="556000"/>
    <n v="1"/>
    <n v="556000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2"/>
    <m/>
    <n v="0"/>
    <s v="50000 Shot"/>
    <x v="0"/>
    <d v="2024-03-26T00:00:00"/>
    <n v="11238.938053097299"/>
    <n v="1"/>
    <n v="11238.938053097299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2"/>
    <m/>
    <n v="0"/>
    <s v="50000 Shot"/>
    <x v="0"/>
    <d v="2024-03-26T00:00:00"/>
    <n v="12035"/>
    <n v="1"/>
    <n v="12035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48"/>
    <m/>
    <n v="0"/>
    <s v="1000000 Shot"/>
    <x v="1"/>
    <d v="2024-03-26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s v="MAR"/>
    <s v="Nov.12.2024"/>
    <n v="48"/>
    <m/>
    <n v="0"/>
    <s v="1000000 Shot"/>
    <x v="1"/>
    <d v="2024-03-26T00:00:00"/>
    <n v="22124"/>
    <n v="1"/>
    <n v="22124"/>
    <s v="Chris"/>
    <s v="Approved"/>
    <s v="No"/>
    <m/>
  </r>
  <r>
    <s v="Pen 800 Full 2.0"/>
    <s v="MODI"/>
    <s v="Battery module top cover"/>
    <n v="130040670017658"/>
    <s v="TK"/>
    <n v="2024"/>
    <s v="APR"/>
    <s v="Nov.12.2024"/>
    <n v="48"/>
    <n v="2709491.2"/>
    <n v="2709491.2"/>
    <s v="1000000 Shot"/>
    <x v="1"/>
    <d v="2024-04-03T00:00:00"/>
    <n v="6460.1769911504398"/>
    <n v="1"/>
    <n v="6460.1769911504398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10T00:00:00"/>
    <n v="5752.2123893805301"/>
    <n v="1"/>
    <n v="5752.2123893805301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10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s v="APR"/>
    <s v="Nov.12.2024"/>
    <n v="2"/>
    <m/>
    <n v="0"/>
    <s v="50000 Shot"/>
    <x v="0"/>
    <d v="2024-04-10T00:00:00"/>
    <n v="5309.7345132743403"/>
    <n v="1"/>
    <n v="5309.7345132743403"/>
    <s v="Chris"/>
    <s v="Approved"/>
    <s v="No"/>
    <m/>
  </r>
  <r>
    <s v="Box 800 Full 2.0"/>
    <s v="MODI"/>
    <s v="PCB_BRACKET"/>
    <n v="130040670023906"/>
    <s v="TK"/>
    <n v="2024"/>
    <s v="APR"/>
    <s v="Nov.12.2024"/>
    <n v="48"/>
    <m/>
    <n v="0"/>
    <s v="1000000 Shot"/>
    <x v="1"/>
    <d v="2024-04-11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s v="APR"/>
    <s v="Nov.12.2024"/>
    <n v="48"/>
    <n v="2029684.8"/>
    <n v="2029684.8"/>
    <s v="1000000 Shot"/>
    <x v="1"/>
    <d v="2024-04-11T00:00:00"/>
    <n v="15929.203539823"/>
    <n v="1"/>
    <n v="15929.203539823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12T00:00:00"/>
    <n v="13539.8230088496"/>
    <n v="1"/>
    <n v="13539.8230088496"/>
    <s v="Chris"/>
    <s v="Approved"/>
    <s v="No"/>
    <m/>
  </r>
  <r>
    <s v="Box 800 Full 2.0"/>
    <s v="MODI"/>
    <s v="Battery top cover"/>
    <n v="130040670039455"/>
    <s v="TK"/>
    <n v="2024"/>
    <s v="APR"/>
    <s v="Nov.12.2024"/>
    <n v="48"/>
    <m/>
    <n v="0"/>
    <s v="1000000 Shot"/>
    <x v="1"/>
    <d v="2024-04-12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s v="APR"/>
    <s v="Nov.12.2024"/>
    <n v="48"/>
    <m/>
    <n v="0"/>
    <s v="1000000 Shot"/>
    <x v="1"/>
    <d v="2024-04-12T00:00:00"/>
    <n v="22124"/>
    <n v="1"/>
    <n v="22124"/>
    <s v="Chris"/>
    <s v="Approved"/>
    <s v="No"/>
    <m/>
  </r>
  <r>
    <s v="Pen 800 Full 2.0"/>
    <s v="MODI"/>
    <s v="Battery module top cover"/>
    <n v="130040670017658"/>
    <s v="TK"/>
    <n v="2024"/>
    <s v="APR"/>
    <s v="Nov.12.2024"/>
    <n v="48"/>
    <n v="2709491.2"/>
    <n v="2709491.2"/>
    <s v="1000000 Shot"/>
    <x v="1"/>
    <d v="2024-04-13T00:00:00"/>
    <n v="6460.1769911504398"/>
    <n v="1"/>
    <n v="6460.1769911504398"/>
    <s v="Chris"/>
    <s v="Approved"/>
    <s v="No"/>
    <m/>
  </r>
  <r>
    <s v="Box 5000 Full 2.0"/>
    <s v="MODI"/>
    <s v="PCBA Bracket"/>
    <n v="130040670024534"/>
    <s v="TK"/>
    <n v="2024"/>
    <s v="APR"/>
    <s v="Nov.12.2024"/>
    <n v="48"/>
    <n v="2935296"/>
    <n v="2935296"/>
    <s v="1000000 Shot"/>
    <x v="1"/>
    <d v="2024-04-13T00:00:00"/>
    <n v="5752.2123893805301"/>
    <n v="1"/>
    <n v="5752.2123893805301"/>
    <s v="Chris"/>
    <s v="Approved"/>
    <s v="No"/>
    <m/>
  </r>
  <r>
    <s v="Pen 800 Full 2.0"/>
    <s v="MODI"/>
    <s v="Heater top cover"/>
    <n v="130040670021246"/>
    <s v="TK"/>
    <n v="2024"/>
    <s v="APR"/>
    <s v="Nov.12.2024"/>
    <n v="48"/>
    <n v="2737152"/>
    <n v="2737152"/>
    <s v="1000000 Shot"/>
    <x v="1"/>
    <d v="2024-04-16T00:00:00"/>
    <n v="11272.5663716814"/>
    <n v="1"/>
    <n v="11272.5663716814"/>
    <s v="Chris"/>
    <s v="Approved"/>
    <s v="No"/>
    <m/>
  </r>
  <r>
    <s v="Box 800 Full 2.0"/>
    <s v="MODI"/>
    <s v="Inner bracket"/>
    <n v="130040670023899"/>
    <s v="TK"/>
    <n v="2024"/>
    <s v="APR"/>
    <s v="Nov.12.2024"/>
    <n v="2"/>
    <m/>
    <n v="0"/>
    <s v="50000 Shot"/>
    <x v="0"/>
    <d v="2024-04-16T00:00:00"/>
    <n v="3362.8318584070798"/>
    <n v="1"/>
    <n v="3362.8318584070798"/>
    <s v="Chris"/>
    <s v="Approved"/>
    <s v="No"/>
    <m/>
  </r>
  <r>
    <s v="Box 8000 Full 2.0"/>
    <s v="MODI"/>
    <s v="Plastic plug"/>
    <n v="130040670043029"/>
    <s v="TK"/>
    <n v="2024"/>
    <s v="APR"/>
    <s v="Nov.12.2024"/>
    <n v="2"/>
    <m/>
    <n v="0"/>
    <s v="50000 Shot"/>
    <x v="0"/>
    <d v="2024-04-19T00:00:00"/>
    <n v="2212.3893805309699"/>
    <n v="1"/>
    <n v="2212.3893805309699"/>
    <s v="Chris"/>
    <s v="Approved"/>
    <s v="No"/>
    <m/>
  </r>
  <r>
    <s v="Box 800 Full 2.0"/>
    <s v="MODI"/>
    <s v="Battery bottom cover"/>
    <n v="130040670039442"/>
    <s v="TK"/>
    <n v="2024"/>
    <s v="APR"/>
    <s v="Nov.12.2024"/>
    <n v="48"/>
    <m/>
    <n v="0"/>
    <s v="1000000 Shot"/>
    <x v="1"/>
    <d v="2024-04-19T00:00:00"/>
    <n v="22123.893805309701"/>
    <n v="1"/>
    <n v="22123.893805309701"/>
    <s v="Chris"/>
    <s v="Approved"/>
    <s v="No"/>
    <m/>
  </r>
  <r>
    <s v="Box 800 Full 2.0"/>
    <s v="MODI"/>
    <s v="Battery top cover"/>
    <n v="130040670039455"/>
    <s v="TK"/>
    <n v="2024"/>
    <s v="APR"/>
    <s v="Nov.12.2024"/>
    <n v="48"/>
    <m/>
    <n v="0"/>
    <s v="1000000 Shot"/>
    <x v="1"/>
    <d v="2024-04-19T00:00:00"/>
    <n v="22123.893805309701"/>
    <n v="1"/>
    <n v="22123.893805309701"/>
    <s v="Chris"/>
    <s v="Approved"/>
    <s v="No"/>
    <m/>
  </r>
  <r>
    <s v="Box 5000 Full 2.0"/>
    <s v="MODI"/>
    <s v="Button"/>
    <n v="130040670017669"/>
    <s v="TK"/>
    <n v="2024"/>
    <s v="APR"/>
    <s v="Nov.12.2024"/>
    <n v="48"/>
    <m/>
    <n v="0"/>
    <s v="1000000 Shot"/>
    <x v="1"/>
    <d v="2024-04-29T00:00:00"/>
    <n v="25663.716814159299"/>
    <n v="1"/>
    <n v="25663.716814159299"/>
    <s v="Chris"/>
    <s v="Approved"/>
    <s v="No"/>
    <m/>
  </r>
  <r>
    <s v="Box 5000 Full 2.0"/>
    <s v="MODI"/>
    <s v="Button"/>
    <n v="130040670017669"/>
    <s v="TK"/>
    <n v="2024"/>
    <s v="MAY"/>
    <s v="Nov.12.2024"/>
    <n v="48"/>
    <m/>
    <n v="0"/>
    <s v="1000000 Shot"/>
    <x v="1"/>
    <d v="2024-05-09T00:00:00"/>
    <n v="10176.9911504425"/>
    <n v="1"/>
    <n v="10176.9911504425"/>
    <s v="Chris"/>
    <s v="Approved"/>
    <s v="No"/>
    <m/>
  </r>
  <r>
    <s v="Box 5000 Full 2.0"/>
    <s v="MODI"/>
    <s v="Button"/>
    <n v="130040670017669"/>
    <s v="TK"/>
    <n v="2024"/>
    <s v="MAY"/>
    <s v="Nov.12.2024"/>
    <n v="48"/>
    <m/>
    <n v="0"/>
    <s v="1000000 Shot"/>
    <x v="1"/>
    <d v="2024-05-29T00:00:00"/>
    <n v="13539.8230088496"/>
    <n v="1"/>
    <n v="13539.8230088496"/>
    <s v="Chris"/>
    <s v="Approved"/>
    <s v="No"/>
    <m/>
  </r>
  <r>
    <s v="Box 5000 Full 2.0"/>
    <s v="MODI"/>
    <s v="Heating holder"/>
    <n v="130040670023448"/>
    <s v="TK"/>
    <n v="2024"/>
    <s v="MAY"/>
    <s v="Nov.12.2024"/>
    <n v="2"/>
    <m/>
    <n v="0"/>
    <s v="50000 Shot"/>
    <x v="0"/>
    <d v="2024-05-29T00:00:00"/>
    <n v="10176.991150442478"/>
    <n v="1"/>
    <n v="10176.991150442478"/>
    <s v="Chris"/>
    <s v="Approved"/>
    <s v="No"/>
    <m/>
  </r>
  <r>
    <s v="Box 5000 Full 2.0"/>
    <s v="MODI"/>
    <s v="Heater top cover"/>
    <n v="130040670023445"/>
    <s v="TK"/>
    <n v="2024"/>
    <s v="JUL"/>
    <s v="Nov.12.2024"/>
    <n v="2"/>
    <m/>
    <n v="0"/>
    <s v="50000 Shot"/>
    <x v="0"/>
    <d v="2024-07-29T00:00:00"/>
    <n v="3645.1327433628321"/>
    <n v="1"/>
    <n v="3645.1327433628321"/>
    <s v="Chris"/>
    <s v="Approved"/>
    <s v="No"/>
    <m/>
  </r>
  <r>
    <s v="Box 5000 Full 2.0"/>
    <s v="MODI"/>
    <s v="Inner bracket"/>
    <n v="130040670023440"/>
    <s v="TK"/>
    <n v="2024"/>
    <s v="SEP"/>
    <s v="Nov.12.2024"/>
    <n v="2"/>
    <m/>
    <n v="0"/>
    <s v="50000 Shot"/>
    <x v="0"/>
    <d v="2024-09-26T00:00:00"/>
    <n v="6866.3716814159297"/>
    <n v="1"/>
    <n v="6866.3716814159297"/>
    <s v="Chris"/>
    <s v="Approved"/>
    <s v="No"/>
    <m/>
  </r>
  <r>
    <s v="Box 3000 Full 2.0"/>
    <s v="MODI"/>
    <s v="Cartridge tank"/>
    <s v="/"/>
    <s v="TK"/>
    <n v="2024"/>
    <s v="APR"/>
    <s v="Nov.12.2024"/>
    <n v="2"/>
    <m/>
    <n v="0"/>
    <s v="50000 Shot"/>
    <x v="2"/>
    <d v="2024-04-01T00:00:00"/>
    <n v="187000"/>
    <n v="1"/>
    <n v="187000"/>
    <s v="Kevin"/>
    <s v="Approved"/>
    <s v="No"/>
    <m/>
  </r>
  <r>
    <s v="Box 3000 Full 2.0"/>
    <s v="MODI"/>
    <s v="Plastic plug"/>
    <s v="/"/>
    <s v="TK"/>
    <n v="2024"/>
    <s v="APR"/>
    <s v="Nov.12.2024"/>
    <n v="2"/>
    <m/>
    <n v="0"/>
    <s v="50000 Shot"/>
    <x v="2"/>
    <d v="2024-04-01T00:00:00"/>
    <n v="75000"/>
    <n v="1"/>
    <n v="75000"/>
    <s v="Kevin"/>
    <s v="Approved"/>
    <s v="No"/>
    <m/>
  </r>
  <r>
    <s v="Box 5000 Full 2.0"/>
    <s v="MODI"/>
    <s v="Bottom cover"/>
    <n v="130040670023442"/>
    <s v="TK"/>
    <n v="2024"/>
    <s v="FEB"/>
    <s v="Nov.12.2024"/>
    <n v="2"/>
    <m/>
    <n v="0"/>
    <s v="50000 Shot"/>
    <x v="0"/>
    <d v="2024-02-19T00:00:00"/>
    <n v="12655"/>
    <n v="1"/>
    <n v="12655"/>
    <s v="Chris"/>
    <s v="Approved"/>
    <s v="No"/>
    <m/>
  </r>
  <r>
    <s v="Box 5000 Full 2.0"/>
    <s v="MODI"/>
    <s v="Inner bracket"/>
    <n v="130040670023440"/>
    <s v="TK"/>
    <n v="2024"/>
    <s v="AUG"/>
    <s v="Nov.12.2024"/>
    <n v="48"/>
    <n v="2029684.8"/>
    <n v="2029684.8"/>
    <s v="1000000 Shot"/>
    <x v="1"/>
    <d v="2024-08-29T00:00:00"/>
    <n v="7759"/>
    <n v="1"/>
    <n v="7759"/>
    <s v="Chris"/>
    <s v="Approved"/>
    <s v="No"/>
    <m/>
  </r>
  <r>
    <s v="Box 800 Full 2.0"/>
    <s v="MODI"/>
    <s v="Button"/>
    <n v="130040670017669"/>
    <s v="TK"/>
    <n v="2024"/>
    <s v="APR"/>
    <s v="Nov.12.2024"/>
    <n v="48"/>
    <m/>
    <n v="0"/>
    <s v="1000000 Shot"/>
    <x v="1"/>
    <d v="2024-04-10T00:00:00"/>
    <n v="6500"/>
    <n v="1"/>
    <n v="6500"/>
    <s v="Chris"/>
    <s v="Approved"/>
    <s v="No"/>
    <m/>
  </r>
  <r>
    <s v="Box 800 Default 2.0"/>
    <s v="MODI"/>
    <s v="Cartridge tank"/>
    <n v="130040670018928"/>
    <s v="TK"/>
    <n v="2024"/>
    <s v="JAN"/>
    <s v="Nov.12.2024"/>
    <n v="24"/>
    <n v="1067040"/>
    <n v="5335200"/>
    <s v="1000000 Shot"/>
    <x v="3"/>
    <d v="2024-01-31T00:00:00"/>
    <n v="840000"/>
    <n v="5"/>
    <n v="4200000"/>
    <s v="Chris"/>
    <s v="Approved"/>
    <s v="No"/>
    <m/>
  </r>
  <r>
    <s v="Box 800 Default 2.0"/>
    <s v="MODI"/>
    <s v="Heater top cover"/>
    <n v="130040670018929"/>
    <s v="TK"/>
    <n v="2024"/>
    <s v="JAN"/>
    <s v="Nov.12.2024"/>
    <n v="48"/>
    <n v="2490280"/>
    <n v="4980560"/>
    <s v="1000000 Shot"/>
    <x v="3"/>
    <d v="2024-01-31T00:00:00"/>
    <n v="451000"/>
    <n v="2"/>
    <n v="902000"/>
    <s v="Chris"/>
    <s v="Approved"/>
    <s v="No"/>
    <m/>
  </r>
  <r>
    <s v="Box 800 Default 2.0"/>
    <s v="MODI"/>
    <s v="Heating holder"/>
    <n v="130040670018930"/>
    <s v="TK"/>
    <n v="2024"/>
    <s v="JAN"/>
    <s v="Nov.12.2024"/>
    <n v="48"/>
    <n v="2490280"/>
    <n v="4980560"/>
    <s v="1000000 Shot"/>
    <x v="3"/>
    <d v="2024-01-31T00:00:00"/>
    <n v="514000"/>
    <n v="2"/>
    <n v="1028000"/>
    <s v="Chris"/>
    <s v="Approved"/>
    <s v="No"/>
    <m/>
  </r>
  <r>
    <s v="Box 800 Default 2.0"/>
    <s v="MODI"/>
    <s v="Slider"/>
    <n v="130040670027765"/>
    <s v="TK"/>
    <n v="2024"/>
    <s v="JAN"/>
    <s v="Nov.12.2024"/>
    <n v="48"/>
    <n v="2574566"/>
    <n v="10298264"/>
    <s v="1000000 Shot"/>
    <x v="3"/>
    <d v="2024-01-31T00:00:00"/>
    <n v="380000"/>
    <n v="4"/>
    <n v="1520000"/>
    <s v="Chris"/>
    <s v="Approved"/>
    <s v="No"/>
    <m/>
  </r>
  <r>
    <s v="Box 800 Default 2.0"/>
    <s v="MODI"/>
    <s v="Bottom cover"/>
    <n v="130040670018919"/>
    <s v="TK"/>
    <n v="2024"/>
    <s v="JAN"/>
    <s v="Nov.12.2024"/>
    <n v="48"/>
    <n v="1969920"/>
    <n v="3939840"/>
    <s v="1000000 Shot"/>
    <x v="3"/>
    <d v="2024-01-31T00:00:00"/>
    <n v="850000"/>
    <n v="2"/>
    <n v="1700000"/>
    <s v="Chris"/>
    <s v="Approved"/>
    <s v="No"/>
    <m/>
  </r>
  <r>
    <s v="Box 800 Default 2.0"/>
    <s v="MODI"/>
    <s v="Plastic plug"/>
    <n v="130040670018925"/>
    <s v="TK"/>
    <n v="2024"/>
    <s v="JAN"/>
    <s v="Nov.12.2024"/>
    <n v="48"/>
    <n v="2817880"/>
    <n v="5635760"/>
    <s v="1000000 Shot"/>
    <x v="3"/>
    <d v="2024-01-31T00:00:00"/>
    <n v="257000"/>
    <n v="2"/>
    <n v="514000"/>
    <s v="Chris"/>
    <s v="Approved"/>
    <s v="No"/>
    <m/>
  </r>
  <r>
    <s v="Box 800 Full 2.0"/>
    <s v="MODI"/>
    <s v="Inner bracket"/>
    <n v="130040670023899"/>
    <s v="TK"/>
    <n v="2024"/>
    <s v="JAN"/>
    <s v="Nov.12.2024"/>
    <n v="48"/>
    <n v="2008545.6"/>
    <n v="2008545.6"/>
    <s v="1000000 Shot"/>
    <x v="3"/>
    <d v="2024-01-31T00:00:00"/>
    <n v="1100000"/>
    <n v="1"/>
    <n v="1100000"/>
    <s v="Chris"/>
    <s v="Approved"/>
    <s v="No"/>
    <m/>
  </r>
  <r>
    <s v="Box 800 Full 2.0"/>
    <s v="MODI"/>
    <s v="Bottom cover"/>
    <n v="130040670023900"/>
    <s v="TK"/>
    <n v="2024"/>
    <s v="JAN"/>
    <s v="Nov.12.2024"/>
    <n v="48"/>
    <n v="1969920"/>
    <n v="1969920"/>
    <s v="1000000 Shot"/>
    <x v="3"/>
    <d v="2024-01-31T00:00:00"/>
    <n v="999000"/>
    <n v="1"/>
    <n v="999000"/>
    <s v="Chris"/>
    <s v="Approved"/>
    <s v="No"/>
    <m/>
  </r>
  <r>
    <s v="Box 800 Full 2.0"/>
    <s v="MODI"/>
    <s v="PCB BRACKET"/>
    <n v="130040670023906"/>
    <s v="TK"/>
    <n v="2024"/>
    <s v="JAN"/>
    <s v="Nov.12.2024"/>
    <n v="48"/>
    <n v="2609152"/>
    <n v="2609152"/>
    <s v="1000000 Shot"/>
    <x v="3"/>
    <d v="2024-01-31T00:00:00"/>
    <n v="355000"/>
    <n v="1"/>
    <n v="355000"/>
    <s v="Chris"/>
    <s v="Approved"/>
    <s v="No"/>
    <m/>
  </r>
  <r>
    <s v="Box 800 Full 2.0"/>
    <s v="MODI"/>
    <s v="Battery top cover"/>
    <n v="130040670039455"/>
    <s v="TK"/>
    <n v="2024"/>
    <s v="JAN"/>
    <s v="Nov.12.2024"/>
    <n v="48"/>
    <n v="2515968"/>
    <n v="5031936"/>
    <s v="1000000 Shot"/>
    <x v="3"/>
    <d v="2024-01-31T00:00:00"/>
    <n v="510000"/>
    <n v="2"/>
    <n v="1020000"/>
    <s v="Chris"/>
    <s v="Approved"/>
    <s v="No"/>
    <m/>
  </r>
  <r>
    <s v="Box 800 Full 2.0"/>
    <s v="MODI"/>
    <s v="Battery bottom cover"/>
    <n v="130040670039442"/>
    <s v="TK"/>
    <n v="2024"/>
    <s v="JAN"/>
    <s v="Nov.12.2024"/>
    <n v="48"/>
    <n v="2515968"/>
    <n v="5031936"/>
    <s v="1000000 Shot"/>
    <x v="3"/>
    <d v="2024-01-31T00:00:00"/>
    <n v="510000"/>
    <n v="2"/>
    <n v="1020000"/>
    <s v="Chris"/>
    <s v="Approved"/>
    <s v="No"/>
    <m/>
  </r>
  <r>
    <s v="Box 800 Full 2.0"/>
    <s v="MODI"/>
    <s v="Button"/>
    <n v="130040670017669"/>
    <s v="TK"/>
    <n v="2024"/>
    <s v="JAN"/>
    <s v="Nov.12.2024"/>
    <n v="48"/>
    <n v="2709491"/>
    <n v="5418982"/>
    <s v="1000000 Shot"/>
    <x v="3"/>
    <d v="2024-01-31T00:00:00"/>
    <n v="380000"/>
    <n v="2"/>
    <n v="760000"/>
    <s v="Chris"/>
    <s v="Approved"/>
    <s v="No"/>
    <m/>
  </r>
  <r>
    <s v="Pen 800 Default 2.0"/>
    <s v="MODI"/>
    <s v="Cartridge tank"/>
    <n v="130040670021245"/>
    <s v="TK"/>
    <n v="2024"/>
    <s v="JAN"/>
    <s v="Nov.12.2024"/>
    <n v="32"/>
    <n v="1517568"/>
    <n v="7587840"/>
    <s v="1000000 Shot"/>
    <x v="3"/>
    <d v="2024-01-31T00:00:00"/>
    <n v="630000"/>
    <n v="5"/>
    <n v="3150000"/>
    <s v="Chris"/>
    <s v="Approved"/>
    <s v="No"/>
    <m/>
  </r>
  <r>
    <s v="Pen 800 Default 2.0"/>
    <s v="MODI"/>
    <s v="Heater top cover"/>
    <n v="130040670021246"/>
    <s v="TK"/>
    <n v="2024"/>
    <s v="JAN"/>
    <s v="Nov.12.2024"/>
    <n v="48"/>
    <n v="2737152"/>
    <n v="8211456"/>
    <s v="1000000 Shot"/>
    <x v="3"/>
    <d v="2024-01-31T00:00:00"/>
    <n v="450000"/>
    <n v="3"/>
    <n v="1350000"/>
    <s v="Chris"/>
    <s v="Approved"/>
    <s v="No"/>
    <m/>
  </r>
  <r>
    <s v="Pen 800 Default 2.0"/>
    <s v="MODI"/>
    <s v="Heating holder"/>
    <n v="130040670026558"/>
    <s v="TK"/>
    <n v="2024"/>
    <s v="JAN"/>
    <s v="Nov.12.2024"/>
    <n v="48"/>
    <n v="2635776"/>
    <n v="7907328"/>
    <s v="1000000 Shot"/>
    <x v="3"/>
    <d v="2024-01-31T00:00:00"/>
    <n v="510000"/>
    <n v="3"/>
    <n v="1530000"/>
    <s v="Chris"/>
    <s v="Approved"/>
    <s v="No"/>
    <m/>
  </r>
  <r>
    <s v="Pen 800 Default 2.0"/>
    <s v="MODI"/>
    <s v="Bottom cover"/>
    <n v="130040670021244"/>
    <s v="TK"/>
    <n v="2024"/>
    <s v="JAN"/>
    <s v="Nov.12.2024"/>
    <n v="48"/>
    <n v="2324275.2000000002"/>
    <n v="4648550.4000000004"/>
    <s v="1000000 Shot"/>
    <x v="3"/>
    <d v="2024-01-31T00:00:00"/>
    <n v="630000"/>
    <n v="2"/>
    <n v="1260000"/>
    <s v="Chris"/>
    <s v="Approved"/>
    <s v="No"/>
    <m/>
  </r>
  <r>
    <s v="Pen 800 Full 2.0"/>
    <s v="MODI"/>
    <s v="Bottom cover"/>
    <n v="130040670017656"/>
    <s v="TK"/>
    <n v="2024"/>
    <s v="JAN"/>
    <s v="Nov.12.2024"/>
    <n v="48"/>
    <n v="2324275.2000000002"/>
    <n v="2324275.2000000002"/>
    <s v="1000000 Shot"/>
    <x v="3"/>
    <d v="2024-01-31T00:00:00"/>
    <n v="525000"/>
    <n v="1"/>
    <n v="525000"/>
    <s v="Chris"/>
    <s v="Approved"/>
    <s v="No"/>
    <m/>
  </r>
  <r>
    <s v="Pen 800 Full 2.0"/>
    <s v="MODI"/>
    <s v="Inner bracket"/>
    <n v="130040670017662"/>
    <s v="TK"/>
    <n v="2024"/>
    <s v="JAN"/>
    <s v="Nov.12.2024"/>
    <n v="48"/>
    <n v="2709491.2"/>
    <n v="2709491.2"/>
    <s v="1000000 Shot"/>
    <x v="3"/>
    <d v="2024-01-31T00:00:00"/>
    <n v="589000"/>
    <n v="1"/>
    <n v="589000"/>
    <s v="Chris"/>
    <s v="Approved"/>
    <s v="No"/>
    <m/>
  </r>
  <r>
    <s v="Pen 800 Full 2.0"/>
    <s v="MODI"/>
    <s v="Battery module top cover"/>
    <n v="130040670017658"/>
    <s v="TK"/>
    <n v="2024"/>
    <s v="JAN"/>
    <s v="Nov.12.2024"/>
    <n v="48"/>
    <n v="2709491.2"/>
    <n v="2709491.2"/>
    <s v="1000000 Shot"/>
    <x v="3"/>
    <d v="2024-01-31T00:00:00"/>
    <n v="325000"/>
    <n v="1"/>
    <n v="325000"/>
    <s v="Chris"/>
    <s v="Approved"/>
    <s v="No"/>
    <m/>
  </r>
  <r>
    <s v="Box 5000 Full 2.0"/>
    <s v="MODI"/>
    <s v="Cartridge tank"/>
    <n v="130040670023444"/>
    <s v="TK"/>
    <n v="2024"/>
    <s v="JAN"/>
    <s v="Nov.12.2024"/>
    <n v="24"/>
    <n v="922833.60000000009"/>
    <n v="1845667.2000000002"/>
    <s v="1000000 Shot"/>
    <x v="3"/>
    <d v="2024-01-31T00:00:00"/>
    <n v="990000"/>
    <n v="2"/>
    <n v="1980000"/>
    <s v="Chris"/>
    <s v="Approved"/>
    <s v="No"/>
    <m/>
  </r>
  <r>
    <s v="Box 5000 Full 2.0"/>
    <s v="MODI"/>
    <s v="Heater top cover"/>
    <n v="130040670023445"/>
    <s v="TK"/>
    <n v="2024"/>
    <s v="JAN"/>
    <s v="Nov.12.2024"/>
    <n v="48"/>
    <n v="2404417.6"/>
    <n v="2404417.6"/>
    <s v="1000000 Shot"/>
    <x v="3"/>
    <d v="2024-01-31T00:00:00"/>
    <n v="570000"/>
    <n v="1"/>
    <n v="570000"/>
    <s v="Chris"/>
    <s v="Approved"/>
    <s v="No"/>
    <m/>
  </r>
  <r>
    <s v="Box 5000 Full 2.0"/>
    <s v="MODI"/>
    <s v="Heating holder"/>
    <n v="130040670023448"/>
    <s v="TK"/>
    <n v="2024"/>
    <s v="JAN"/>
    <s v="Nov.12.2024"/>
    <n v="48"/>
    <n v="2404417.6"/>
    <n v="2404417.6"/>
    <s v="1000000 Shot"/>
    <x v="3"/>
    <d v="2024-01-31T00:00:00"/>
    <n v="615000"/>
    <n v="1"/>
    <n v="615000"/>
    <s v="Chris"/>
    <s v="Approved"/>
    <s v="No"/>
    <m/>
  </r>
  <r>
    <s v="Box 5000 Full 2.0"/>
    <s v="MODI"/>
    <s v="Inner bracket"/>
    <n v="130040670023440"/>
    <s v="TK"/>
    <n v="2024"/>
    <s v="JAN"/>
    <s v="Nov.12.2024"/>
    <n v="48"/>
    <n v="2029684.8"/>
    <n v="2029684.8"/>
    <s v="1000000 Shot"/>
    <x v="3"/>
    <d v="2024-01-31T00:00:00"/>
    <n v="1100000"/>
    <n v="1"/>
    <n v="1100000"/>
    <s v="Chris"/>
    <s v="Approved"/>
    <s v="No"/>
    <m/>
  </r>
  <r>
    <s v="Box 5000 Full 2.0"/>
    <s v="MODI"/>
    <s v="Bottom cover"/>
    <n v="130040670023442"/>
    <s v="TK"/>
    <n v="2024"/>
    <s v="JAN"/>
    <s v="Nov.12.2024"/>
    <n v="48"/>
    <n v="2134080"/>
    <n v="2134080"/>
    <s v="1000000 Shot"/>
    <x v="3"/>
    <d v="2024-01-31T00:00:00"/>
    <n v="999000"/>
    <n v="1"/>
    <n v="999000"/>
    <s v="Chris"/>
    <s v="Approved"/>
    <s v="No"/>
    <m/>
  </r>
  <r>
    <s v="Box 5000 Full 2.0"/>
    <s v="MODI"/>
    <s v="PCBA Bracket"/>
    <n v="130040670024534"/>
    <s v="TK"/>
    <n v="2024"/>
    <s v="JAN"/>
    <s v="Nov.12.2024"/>
    <n v="48"/>
    <n v="2935296"/>
    <n v="2935296"/>
    <s v="1000000 Shot"/>
    <x v="3"/>
    <d v="2024-01-31T00:00:00"/>
    <n v="345000"/>
    <n v="1"/>
    <n v="345000"/>
    <s v="Chris"/>
    <s v="Approved"/>
    <s v="No"/>
    <m/>
  </r>
  <r>
    <s v="Box 5000 Full 2.0"/>
    <s v="MODI"/>
    <s v=" Plastic plug"/>
    <n v="130040670023443"/>
    <s v="TK"/>
    <n v="2024"/>
    <s v="JAN"/>
    <s v="Nov.12.2024"/>
    <n v="48"/>
    <n v="2817880"/>
    <n v="2817880"/>
    <s v="1000000 Shot"/>
    <x v="3"/>
    <d v="2024-01-31T00:00:00"/>
    <n v="315000"/>
    <n v="1"/>
    <n v="315000"/>
    <s v="Chris"/>
    <s v="Approved"/>
    <s v="No"/>
    <m/>
  </r>
  <r>
    <s v="Box 5000 Full 2.0"/>
    <s v="MODI"/>
    <s v="Bottom cover"/>
    <n v="130040670023442"/>
    <s v="TK"/>
    <n v="2024"/>
    <s v="Feb "/>
    <s v="Nov.12.2024"/>
    <n v="2"/>
    <m/>
    <n v="0"/>
    <s v="50000 Shot"/>
    <x v="0"/>
    <d v="2024-02-19T00:00:00"/>
    <n v="12655"/>
    <n v="1"/>
    <n v="12655"/>
    <s v="Chris"/>
    <s v="Approved"/>
    <s v="No"/>
    <m/>
  </r>
  <r>
    <s v="Box 800 Default 2.0"/>
    <s v="MODI"/>
    <s v="Heating holder"/>
    <n v="130040670018930"/>
    <s v="TK"/>
    <n v="2023"/>
    <s v="Nov"/>
    <s v="Nov.12.2024"/>
    <n v="48"/>
    <n v="2490280"/>
    <n v="2490280"/>
    <s v="1000000 Shot"/>
    <x v="1"/>
    <d v="2023-11-21T00:00:00"/>
    <n v="153539"/>
    <n v="1"/>
    <n v="153539"/>
    <s v="Chris"/>
    <s v="Approved"/>
    <s v="No"/>
    <m/>
  </r>
  <r>
    <s v="Box 800 Default 2.0"/>
    <s v="MODI"/>
    <s v="Cartridge tank"/>
    <n v="130040670018928"/>
    <s v="TK"/>
    <n v="2023"/>
    <s v="Nov"/>
    <s v="Nov.12.2024"/>
    <n v="24"/>
    <n v="1067040"/>
    <n v="1067040"/>
    <s v="1000000 Shot"/>
    <x v="1"/>
    <d v="2023-11-24T00:00:00"/>
    <n v="20353.982300884956"/>
    <n v="1"/>
    <n v="20353.982300884956"/>
    <s v="Chris"/>
    <s v="Approved"/>
    <s v="No"/>
    <m/>
  </r>
  <r>
    <s v="Box 800 Default 2.0"/>
    <s v="MODI"/>
    <s v="Slider"/>
    <n v="130040670027765"/>
    <s v="TK"/>
    <n v="2023"/>
    <s v="Nov"/>
    <s v="Nov.12.2024"/>
    <n v="48"/>
    <m/>
    <n v="0"/>
    <s v="1000000 Shot"/>
    <x v="1"/>
    <d v="2023-11-29T00:00:00"/>
    <n v="94931.85840707965"/>
    <n v="1"/>
    <n v="94931.85840707965"/>
    <s v="Chris"/>
    <s v="Approved"/>
    <s v="No"/>
    <m/>
  </r>
  <r>
    <s v="Box 800 Default 2.0"/>
    <s v="MODI"/>
    <s v="Heating holder"/>
    <n v="130040670018930"/>
    <s v="TK"/>
    <n v="2023"/>
    <s v="Nov"/>
    <s v="Nov.12.2024"/>
    <n v="2"/>
    <m/>
    <n v="0"/>
    <s v="50000 Shot"/>
    <x v="0"/>
    <d v="2023-11-16T00:00:00"/>
    <n v="60176.991150442482"/>
    <n v="1"/>
    <n v="60176.991150442482"/>
    <s v="Chris"/>
    <s v="Approved"/>
    <s v="No"/>
    <m/>
  </r>
  <r>
    <s v="Box 800 Default 2.0"/>
    <s v="MODI"/>
    <s v="Heating holder"/>
    <n v="130040670018930"/>
    <s v="TK"/>
    <n v="2023"/>
    <s v="Nov"/>
    <s v="Nov.12.2024"/>
    <n v="2"/>
    <m/>
    <n v="0"/>
    <s v="50000 Shot"/>
    <x v="0"/>
    <d v="2023-11-22T00:00:00"/>
    <n v="4867.2566371681423"/>
    <n v="1"/>
    <n v="4867.2566371681423"/>
    <s v="Chris"/>
    <s v="Approved"/>
    <s v="No"/>
    <m/>
  </r>
  <r>
    <s v="Box 800 Default 2.0"/>
    <s v="MODI"/>
    <s v="Cartridge tank"/>
    <n v="130040670018928"/>
    <s v="TK"/>
    <n v="2023"/>
    <s v="Nov"/>
    <s v="Nov.12.2024"/>
    <n v="2"/>
    <m/>
    <n v="0"/>
    <s v="50000 Shot"/>
    <x v="0"/>
    <d v="2023-11-22T00:00:00"/>
    <n v="5200.0000000000009"/>
    <n v="1"/>
    <n v="5200.0000000000009"/>
    <s v="Chris"/>
    <s v="Approved"/>
    <s v="No"/>
    <m/>
  </r>
  <r>
    <s v="Box 800 Default 2.0"/>
    <s v="MODI"/>
    <s v="Slider"/>
    <n v="130040670027765"/>
    <s v="TK"/>
    <n v="2023"/>
    <s v="Nov"/>
    <s v="Nov.12.2024"/>
    <n v="2"/>
    <m/>
    <n v="0"/>
    <s v="50000 Shot"/>
    <x v="0"/>
    <d v="2023-11-24T00:00:00"/>
    <n v="10619.469026548673"/>
    <n v="1"/>
    <n v="10619.469026548673"/>
    <s v="Chris"/>
    <s v="Approved"/>
    <s v="No"/>
    <m/>
  </r>
  <r>
    <s v="Box 5000 Full 2.0"/>
    <s v="MODI"/>
    <s v="Heating holder"/>
    <n v="130040670023448"/>
    <s v="TK"/>
    <n v="2023"/>
    <s v="Nov"/>
    <s v="Nov.12.2024"/>
    <n v="2"/>
    <m/>
    <n v="0"/>
    <s v="50000 Shot"/>
    <x v="0"/>
    <d v="2023-11-22T00:00:00"/>
    <n v="12600.000000000002"/>
    <n v="1"/>
    <n v="12600.000000000002"/>
    <s v="Chris"/>
    <s v="Approved"/>
    <s v="No"/>
    <m/>
  </r>
  <r>
    <s v="Box 5000 Full 2.0"/>
    <s v="MODI"/>
    <s v="Heater top cover"/>
    <n v="130040670023445"/>
    <s v="TK"/>
    <n v="2023"/>
    <s v="Nov"/>
    <s v="Nov.12.2024"/>
    <n v="2"/>
    <m/>
    <n v="0"/>
    <s v="50000 Shot"/>
    <x v="0"/>
    <d v="2023-11-22T00:00:00"/>
    <n v="11279.646017699117"/>
    <n v="1"/>
    <n v="11279.646017699117"/>
    <s v="Chris"/>
    <s v="Approved"/>
    <s v="No"/>
    <m/>
  </r>
  <r>
    <s v="Box 800 Default 2.0"/>
    <s v="MODI"/>
    <s v="Heating holder"/>
    <n v="130040670018930"/>
    <s v="TK"/>
    <n v="2023"/>
    <s v="Dec"/>
    <s v="Nov.12.2024"/>
    <n v="2"/>
    <m/>
    <n v="0"/>
    <s v="50000 Shot"/>
    <x v="0"/>
    <d v="2023-12-07T00:00:00"/>
    <n v="5911.5044247787619"/>
    <n v="1"/>
    <n v="5911.5044247787619"/>
    <s v="Chris"/>
    <s v="Approved"/>
    <s v="No"/>
    <m/>
  </r>
  <r>
    <s v="Box 800 Default 2.0"/>
    <s v="MODI"/>
    <s v="Heating holder"/>
    <n v="130040670018930"/>
    <s v="TK"/>
    <n v="2023"/>
    <s v="Dec"/>
    <s v="Nov.12.2024"/>
    <n v="48"/>
    <n v="2490280"/>
    <n v="2490280"/>
    <s v="1000000 Shot"/>
    <x v="1"/>
    <d v="2023-12-07T00:00:00"/>
    <n v="8460.1769911504434"/>
    <n v="1"/>
    <n v="8460.1769911504434"/>
    <s v="Chris"/>
    <s v="Approved"/>
    <s v="No"/>
    <m/>
  </r>
  <r>
    <s v="Box 800 Default 2.0"/>
    <s v="MODI"/>
    <s v="Heating holder"/>
    <n v="130040670018930"/>
    <s v="TK"/>
    <n v="2023"/>
    <s v="Dec"/>
    <s v="Nov.12.2024"/>
    <n v="2"/>
    <m/>
    <n v="0"/>
    <s v="50000 Shot"/>
    <x v="0"/>
    <d v="2023-12-11T00:00:00"/>
    <n v="5575.2212389380538"/>
    <n v="1"/>
    <n v="5575.2212389380538"/>
    <s v="Chris"/>
    <s v="Approved"/>
    <s v="No"/>
    <m/>
  </r>
  <r>
    <s v="Box 800 Full 2.0"/>
    <s v="MODI"/>
    <s v="Inner bracket"/>
    <n v="130040670023899"/>
    <s v="TK"/>
    <n v="2023"/>
    <s v="Dec"/>
    <s v="Nov.12.2024"/>
    <n v="2"/>
    <m/>
    <n v="0"/>
    <s v="50000 Shot"/>
    <x v="0"/>
    <d v="2023-12-12T00:00:00"/>
    <n v="1061.9469026548672"/>
    <n v="1"/>
    <n v="1061.9469026548672"/>
    <s v="Chris"/>
    <s v="Approved"/>
    <s v="No"/>
    <m/>
  </r>
  <r>
    <s v="Box 800 Full 2.0"/>
    <s v="MODI"/>
    <s v="PCB BRACKET"/>
    <n v="130040670023906"/>
    <s v="TK"/>
    <n v="2023"/>
    <s v="Dec"/>
    <s v="Nov.12.2024"/>
    <n v="2"/>
    <m/>
    <n v="0"/>
    <s v="50000 Shot"/>
    <x v="0"/>
    <d v="2023-12-12T00:00:00"/>
    <n v="2477.8761061946907"/>
    <n v="1"/>
    <n v="2477.8761061946907"/>
    <s v="Chris"/>
    <s v="Approved"/>
    <s v="No"/>
    <m/>
  </r>
  <r>
    <s v="Box 800 Full 2.0"/>
    <s v="MODI"/>
    <s v="Bottom cover"/>
    <n v="130040670023900"/>
    <s v="TK"/>
    <n v="2023"/>
    <s v="Dec"/>
    <s v="Nov.12.2024"/>
    <n v="2"/>
    <m/>
    <n v="0"/>
    <s v="50000 Shot"/>
    <x v="0"/>
    <d v="2023-12-12T00:00:00"/>
    <n v="3097.3451327433631"/>
    <n v="1"/>
    <n v="3097.3451327433631"/>
    <s v="Chris"/>
    <s v="Approved"/>
    <s v="No"/>
    <m/>
  </r>
  <r>
    <s v="Box 800 Full 2.0"/>
    <s v="MODI"/>
    <s v="Battery top cover"/>
    <n v="130040670039455"/>
    <s v="TK"/>
    <n v="2023"/>
    <s v="Dec"/>
    <s v="Nov.12.2024"/>
    <n v="2"/>
    <m/>
    <n v="0"/>
    <s v="50000 Shot"/>
    <x v="0"/>
    <d v="2023-12-12T00:00:00"/>
    <n v="9889.3805309734526"/>
    <n v="1"/>
    <n v="9889.3805309734526"/>
    <s v="Chris"/>
    <s v="Approved"/>
    <s v="No"/>
    <m/>
  </r>
  <r>
    <s v="Box 800 Full 2.0"/>
    <s v="MODI"/>
    <s v="Battery bottom cover"/>
    <n v="130040670039442"/>
    <s v="TK"/>
    <n v="2023"/>
    <s v="Dec"/>
    <s v="Nov.12.2024"/>
    <n v="2"/>
    <m/>
    <n v="0"/>
    <s v="50000 Shot"/>
    <x v="0"/>
    <d v="2023-12-12T00:00:00"/>
    <n v="9889.3805309734526"/>
    <n v="1"/>
    <n v="9889.3805309734526"/>
    <s v="Chris"/>
    <s v="Approved"/>
    <s v="No"/>
    <m/>
  </r>
  <r>
    <s v="Box 5000 Full 2.0"/>
    <s v="MODI"/>
    <s v="PCBA Bracket"/>
    <n v="130040670024534"/>
    <s v="TK"/>
    <n v="2023"/>
    <s v="Dec"/>
    <s v="Nov.12.2024"/>
    <n v="2"/>
    <m/>
    <n v="0"/>
    <s v="50000 Shot"/>
    <x v="0"/>
    <d v="2023-12-12T00:00:00"/>
    <n v="6750.4424778761068"/>
    <n v="1"/>
    <n v="6750.4424778761068"/>
    <s v="Chris"/>
    <s v="Approved"/>
    <s v="No"/>
    <m/>
  </r>
  <r>
    <s v="Box 5000 Full 2.0"/>
    <s v="MODI"/>
    <s v="Inner bracket"/>
    <n v="130040670023440"/>
    <s v="TK"/>
    <n v="2023"/>
    <s v="Dec"/>
    <s v="Nov.12.2024"/>
    <n v="2"/>
    <m/>
    <n v="0"/>
    <s v="50000 Shot"/>
    <x v="0"/>
    <d v="2023-12-12T00:00:00"/>
    <n v="5575.2212389380538"/>
    <n v="1"/>
    <n v="5575.2212389380538"/>
    <s v="Chris"/>
    <s v="Approved"/>
    <s v="No"/>
    <m/>
  </r>
  <r>
    <s v="Box 800 Default 2.0"/>
    <s v="MODI"/>
    <s v="Heating holder"/>
    <n v="130040670018930"/>
    <s v="TK"/>
    <n v="2023"/>
    <s v="Dec"/>
    <s v="Nov.12.2024"/>
    <n v="48"/>
    <n v="2490280"/>
    <n v="2490280"/>
    <s v="1000000 Shot"/>
    <x v="1"/>
    <d v="2023-12-15T00:00:00"/>
    <n v="79969.911504424788"/>
    <n v="1"/>
    <n v="79969.911504424788"/>
    <s v="Chris"/>
    <s v="Approved"/>
    <s v="No"/>
    <m/>
  </r>
  <r>
    <s v="Box 800 Full 2.0"/>
    <s v="MODI"/>
    <s v="PCB BRACKET"/>
    <n v="130040670023906"/>
    <s v="TK"/>
    <n v="2023"/>
    <s v="Dec"/>
    <s v="Nov.12.2024"/>
    <n v="2"/>
    <m/>
    <n v="0"/>
    <s v="50000 Shot"/>
    <x v="0"/>
    <d v="2023-12-18T00:00:00"/>
    <n v="4601.7699115044252"/>
    <n v="1"/>
    <n v="4601.7699115044252"/>
    <s v="Chris"/>
    <s v="Approved"/>
    <s v="No"/>
    <m/>
  </r>
  <r>
    <s v="Box 800 Full 2.0"/>
    <s v="MODI"/>
    <s v="Inner bracket"/>
    <n v="130040670023899"/>
    <s v="TK"/>
    <n v="2023"/>
    <s v="Dec"/>
    <s v="Nov.12.2024"/>
    <n v="2"/>
    <m/>
    <n v="0"/>
    <s v="50000 Shot"/>
    <x v="0"/>
    <d v="2023-12-18T00:00:00"/>
    <n v="3362.8318584070798"/>
    <n v="1"/>
    <n v="3362.8318584070798"/>
    <s v="Chris"/>
    <s v="Approved"/>
    <s v="No"/>
    <m/>
  </r>
  <r>
    <s v="Box 800 Full 2.0"/>
    <s v="MODI"/>
    <s v="Bottom cover"/>
    <n v="130040670023900"/>
    <s v="TK"/>
    <n v="2023"/>
    <s v="Dec"/>
    <s v="Nov.12.2024"/>
    <n v="2"/>
    <m/>
    <n v="0"/>
    <s v="50000 Shot"/>
    <x v="0"/>
    <d v="2023-12-18T00:00:00"/>
    <n v="2212.3893805309735"/>
    <n v="1"/>
    <n v="2212.3893805309735"/>
    <s v="Chris"/>
    <s v="Approved"/>
    <s v="No"/>
    <m/>
  </r>
  <r>
    <s v="Box 5000 Full 2.0"/>
    <s v="MODI"/>
    <s v="Bottom cover"/>
    <n v="130040670023442"/>
    <s v="TK"/>
    <n v="2023"/>
    <s v="Dec"/>
    <s v="Nov.12.2024"/>
    <n v="2"/>
    <m/>
    <n v="0"/>
    <s v="50000 Shot"/>
    <x v="0"/>
    <d v="2023-12-26T00:00:00"/>
    <n v="6017.6991150442482"/>
    <n v="1"/>
    <n v="6017.6991150442482"/>
    <s v="Chris"/>
    <s v="Approved"/>
    <s v="No"/>
    <m/>
  </r>
  <r>
    <s v="Box 5000 Full 2.0"/>
    <s v="MODI"/>
    <s v="Inner bracket"/>
    <n v="130040670023440"/>
    <s v="TK"/>
    <n v="2023"/>
    <s v="Dec"/>
    <s v="Nov.12.2024"/>
    <n v="2"/>
    <m/>
    <n v="0"/>
    <s v="50000 Shot"/>
    <x v="0"/>
    <d v="2023-12-26T00:00:00"/>
    <n v="18584.070796460179"/>
    <n v="1"/>
    <n v="18584.070796460179"/>
    <s v="Chris"/>
    <s v="Approved"/>
    <s v="No"/>
    <m/>
  </r>
  <r>
    <s v="Box 5000 Full 2.0"/>
    <s v="MODI"/>
    <s v="Cartridge tank"/>
    <n v="130040670023444"/>
    <s v="TK"/>
    <n v="2023"/>
    <s v="Dec"/>
    <s v="Nov.12.2024"/>
    <n v="2"/>
    <m/>
    <n v="0"/>
    <s v="50000 Shot"/>
    <x v="0"/>
    <d v="2023-12-26T00:00:00"/>
    <n v="1327.4336283185842"/>
    <n v="1"/>
    <n v="1327.4336283185842"/>
    <s v="Chris"/>
    <s v="Approved"/>
    <s v="No"/>
    <m/>
  </r>
  <r>
    <s v="Box 5000 Full 2.0"/>
    <s v="MODI"/>
    <s v="Heating holder"/>
    <n v="130040670023448"/>
    <s v="TK"/>
    <n v="2023"/>
    <s v="Dec"/>
    <s v="Nov.12.2024"/>
    <n v="2"/>
    <m/>
    <n v="0"/>
    <s v="50000 Shot"/>
    <x v="0"/>
    <d v="2023-12-26T00:00:00"/>
    <n v="23893.805309734515"/>
    <n v="1"/>
    <n v="23893.805309734515"/>
    <s v="Chris"/>
    <s v="Approved"/>
    <s v="No"/>
    <m/>
  </r>
  <r>
    <s v="Box 5000 Full 2.0"/>
    <s v="MODI"/>
    <s v=" Plastic plug"/>
    <n v="130040670023443"/>
    <s v="TK"/>
    <n v="2023"/>
    <s v="Dec"/>
    <s v="Nov.12.2024"/>
    <n v="2"/>
    <m/>
    <n v="0"/>
    <s v="50000 Shot"/>
    <x v="0"/>
    <d v="2023-12-26T00:00:00"/>
    <n v="15601.769911504427"/>
    <n v="1"/>
    <n v="15601.769911504427"/>
    <s v="Chris"/>
    <s v="Approved"/>
    <s v="No"/>
    <m/>
  </r>
  <r>
    <s v="Box 800 Default 2.0"/>
    <s v="MODI"/>
    <s v="Bottom cover"/>
    <n v="130040670018919"/>
    <s v="TK"/>
    <n v="2023"/>
    <s v="Dec"/>
    <s v="Nov.12.2024"/>
    <n v="2"/>
    <m/>
    <n v="0"/>
    <s v="50000 Shot"/>
    <x v="0"/>
    <d v="2023-12-26T00:00:00"/>
    <n v="21238.938053097347"/>
    <n v="1"/>
    <n v="21238.938053097347"/>
    <s v="Chris"/>
    <s v="Approved"/>
    <s v="No"/>
    <m/>
  </r>
  <r>
    <s v="Box 800 Default 2.0"/>
    <s v="MODI"/>
    <s v="Cartridge tank"/>
    <n v="130040670018928"/>
    <s v="TK"/>
    <n v="2023"/>
    <s v="Dec"/>
    <s v="Nov.12.2024"/>
    <n v="2"/>
    <m/>
    <n v="0"/>
    <s v="50000 Shot"/>
    <x v="0"/>
    <d v="2023-12-28T00:00:00"/>
    <n v="6807.9646017699124"/>
    <n v="1"/>
    <n v="6807.9646017699124"/>
    <s v="Chris"/>
    <s v="Approved"/>
    <s v="No"/>
    <m/>
  </r>
  <r>
    <s v="Box 800 Full 2.0"/>
    <s v="MODI"/>
    <s v="Cartridge tank"/>
    <n v="130040670018928"/>
    <s v="TK"/>
    <n v="2023"/>
    <s v="Oct"/>
    <s v="Nov.12.2024"/>
    <n v="2"/>
    <m/>
    <n v="0"/>
    <s v="50000 Shot"/>
    <x v="2"/>
    <d v="2023-09-27T00:00:00"/>
    <n v="134000"/>
    <n v="1"/>
    <n v="134000"/>
    <s v="Kevin"/>
    <s v="Approved"/>
    <s v="No"/>
    <m/>
  </r>
  <r>
    <s v="Box 800 Full 2.0"/>
    <s v="MODI"/>
    <s v="Heater top cover"/>
    <n v="130040670018929"/>
    <s v="TK"/>
    <n v="2023"/>
    <s v="Oct"/>
    <s v="Nov.12.2024"/>
    <n v="2"/>
    <m/>
    <n v="0"/>
    <s v="50000 Shot"/>
    <x v="2"/>
    <d v="2023-09-27T00:00:00"/>
    <n v="89000.000000000015"/>
    <n v="1"/>
    <n v="89000.000000000015"/>
    <s v="Kevin"/>
    <s v="Approved"/>
    <s v="No"/>
    <m/>
  </r>
  <r>
    <s v="Box 800 Full 2.0"/>
    <s v="MODI"/>
    <s v="Heating holder"/>
    <n v="130040670018930"/>
    <s v="TK"/>
    <n v="2023"/>
    <s v="Oct"/>
    <s v="Nov.12.2024"/>
    <n v="2"/>
    <m/>
    <n v="0"/>
    <s v="50000 Shot"/>
    <x v="2"/>
    <d v="2023-09-27T00:00:00"/>
    <n v="89000.000000000015"/>
    <n v="1"/>
    <n v="89000.000000000015"/>
    <s v="Kevin"/>
    <s v="Approved"/>
    <s v="No"/>
    <m/>
  </r>
  <r>
    <s v="Box 800 Full 2.0"/>
    <s v="MODI"/>
    <s v="Inner bracket"/>
    <n v="130040670023899"/>
    <s v="TK"/>
    <n v="2023"/>
    <s v="SEP"/>
    <s v="Nov.12.2024"/>
    <n v="2"/>
    <m/>
    <n v="0"/>
    <s v="50000 Shot"/>
    <x v="2"/>
    <d v="2023-09-27T00:00:00"/>
    <n v="108000.00000000001"/>
    <n v="1"/>
    <n v="108000.00000000001"/>
    <s v="Kevin"/>
    <s v="Approved"/>
    <s v="No"/>
    <m/>
  </r>
  <r>
    <s v="Box 800 Full 2.0"/>
    <s v="MODI"/>
    <s v="Bottom cover"/>
    <n v="130040670023900"/>
    <s v="TK"/>
    <n v="2023"/>
    <s v="SEP"/>
    <s v="Nov.12.2024"/>
    <n v="2"/>
    <m/>
    <n v="0"/>
    <s v="50000 Shot"/>
    <x v="2"/>
    <d v="2023-09-27T00:00:00"/>
    <n v="99000.000000000015"/>
    <n v="1"/>
    <n v="99000.000000000015"/>
    <s v="Kevin"/>
    <s v="Approved"/>
    <s v="No"/>
    <m/>
  </r>
  <r>
    <s v="Box 800 Full 2.0"/>
    <s v="MODI"/>
    <s v="PCB BRACKET"/>
    <n v="130040670023906"/>
    <s v="TK"/>
    <n v="2023"/>
    <s v="SEP"/>
    <s v="Nov.12.2024"/>
    <n v="2"/>
    <m/>
    <n v="0"/>
    <s v="50000 Shot"/>
    <x v="2"/>
    <d v="2023-09-27T00:00:00"/>
    <n v="70000"/>
    <n v="1"/>
    <n v="70000"/>
    <s v="Kevin"/>
    <s v="Approved"/>
    <s v="No"/>
    <m/>
  </r>
  <r>
    <s v="Box 800 Full 2.0"/>
    <s v="MODI"/>
    <s v="Battery top cover"/>
    <n v="130040670039455"/>
    <s v="TK"/>
    <n v="2023"/>
    <s v="SEP"/>
    <s v="Nov.12.2024"/>
    <n v="2"/>
    <m/>
    <n v="0"/>
    <s v="50000 Shot"/>
    <x v="2"/>
    <d v="2023-09-27T00:00:00"/>
    <n v="65000.000000000007"/>
    <n v="1"/>
    <n v="65000.000000000007"/>
    <s v="Kevin"/>
    <s v="Approved"/>
    <s v="No"/>
    <m/>
  </r>
  <r>
    <s v="Box 800 Full 2.0"/>
    <s v="MODI"/>
    <s v="Battery bottom cover"/>
    <n v="130040670039442"/>
    <s v="TK"/>
    <n v="2023"/>
    <s v="SEP"/>
    <s v="Nov.12.2024"/>
    <n v="2"/>
    <m/>
    <n v="0"/>
    <s v="50000 Shot"/>
    <x v="2"/>
    <d v="2023-09-27T00:00:00"/>
    <n v="65000.000000000007"/>
    <n v="1"/>
    <n v="65000.000000000007"/>
    <s v="Kevin"/>
    <s v="Approved"/>
    <s v="No"/>
    <m/>
  </r>
  <r>
    <s v="Box 5000 Full 2.0"/>
    <s v="MODI"/>
    <s v="Cartridge tank"/>
    <n v="130040670023444"/>
    <s v="TK"/>
    <n v="2023"/>
    <s v="Oct"/>
    <s v="Nov.12.2024"/>
    <n v="2"/>
    <m/>
    <n v="0"/>
    <s v="50000 Shot"/>
    <x v="2"/>
    <d v="2023-10-31T00:00:00"/>
    <n v="187000.00000000003"/>
    <n v="1"/>
    <n v="187000.00000000003"/>
    <s v="Kevin"/>
    <s v="Approved"/>
    <s v="No"/>
    <m/>
  </r>
  <r>
    <s v="Box 5000 Full 2.0"/>
    <s v="MODI"/>
    <s v=" Plastic plug"/>
    <n v="130040670023443"/>
    <s v="TK"/>
    <n v="2023"/>
    <s v="Oct"/>
    <s v="Nov.12.2024"/>
    <n v="2"/>
    <m/>
    <n v="0"/>
    <s v="50000 Shot"/>
    <x v="2"/>
    <d v="2023-10-31T00:00:00"/>
    <n v="75000"/>
    <n v="1"/>
    <n v="75000"/>
    <s v="Kevin"/>
    <s v="Approved"/>
    <s v="No"/>
    <m/>
  </r>
  <r>
    <s v="Box 5000 Full 2.0"/>
    <s v="MODI"/>
    <s v="Bottom cover"/>
    <n v="130040670023442"/>
    <s v="TK"/>
    <n v="2023"/>
    <s v="Oct"/>
    <s v="Nov.12.2024"/>
    <n v="2"/>
    <m/>
    <n v="0"/>
    <s v="50000 Shot"/>
    <x v="2"/>
    <d v="2023-10-31T00:00:00"/>
    <n v="98000.000000000015"/>
    <n v="1"/>
    <n v="98000.000000000015"/>
    <s v="Kevin"/>
    <s v="Approved"/>
    <s v="No"/>
    <m/>
  </r>
  <r>
    <s v="Box 5000 Full 2.0"/>
    <s v="MODI"/>
    <s v="Heater top cover"/>
    <n v="130040670023445"/>
    <s v="TK"/>
    <n v="2023"/>
    <s v="Oct"/>
    <s v="Nov.12.2024"/>
    <n v="2"/>
    <m/>
    <n v="0"/>
    <s v="50000 Shot"/>
    <x v="2"/>
    <d v="2023-10-31T00:00:00"/>
    <n v="89000.000000000015"/>
    <n v="1"/>
    <n v="89000.000000000015"/>
    <s v="Kevin"/>
    <s v="Approved"/>
    <s v="No"/>
    <m/>
  </r>
  <r>
    <s v="Box 5000 Full 2.0"/>
    <s v="MODI"/>
    <s v="Heating holder"/>
    <n v="130040670023448"/>
    <s v="TK"/>
    <n v="2023"/>
    <s v="Oct"/>
    <s v="Nov.12.2024"/>
    <n v="2"/>
    <m/>
    <n v="0"/>
    <s v="50000 Shot"/>
    <x v="2"/>
    <d v="2023-10-31T00:00:00"/>
    <n v="89000.000000000015"/>
    <n v="1"/>
    <n v="89000.000000000015"/>
    <s v="Kevin"/>
    <s v="Approved"/>
    <s v="No"/>
    <m/>
  </r>
  <r>
    <s v="Box 5000 Full 2.0"/>
    <s v="MODI"/>
    <s v="Inner bracket"/>
    <n v="130040670023440"/>
    <s v="TK"/>
    <n v="2023"/>
    <s v="Oct"/>
    <s v="Nov.12.2024"/>
    <n v="2"/>
    <m/>
    <n v="0"/>
    <s v="50000 Shot"/>
    <x v="2"/>
    <d v="2023-10-31T00:00:00"/>
    <n v="103000.00000000001"/>
    <n v="1"/>
    <n v="103000.00000000001"/>
    <s v="Kevin"/>
    <s v="Approved"/>
    <s v="No"/>
    <m/>
  </r>
  <r>
    <s v="Box 5000 Full 2.0"/>
    <s v="MODI"/>
    <s v="PCBA Bracket"/>
    <n v="130040670024534"/>
    <s v="TK"/>
    <n v="2023"/>
    <s v="Oct"/>
    <s v="Nov.12.2024"/>
    <n v="2"/>
    <m/>
    <n v="0"/>
    <s v="50000 Shot"/>
    <x v="2"/>
    <d v="2023-10-31T00:00:00"/>
    <n v="70000"/>
    <n v="1"/>
    <n v="70000"/>
    <s v="Kevin"/>
    <s v="Approved"/>
    <s v="No"/>
    <m/>
  </r>
  <r>
    <s v="Box 8000 Full 2.0"/>
    <s v="MODI"/>
    <s v=" Plastic plug"/>
    <n v="130040670043029"/>
    <s v="TK"/>
    <n v="2023"/>
    <s v="Dec"/>
    <s v="Nov.12.2024"/>
    <n v="2"/>
    <m/>
    <n v="0"/>
    <s v="50000 Shot"/>
    <x v="2"/>
    <d v="2023-12-29T00:00:00"/>
    <n v="65000.000000000007"/>
    <n v="1"/>
    <n v="65000.000000000007"/>
    <s v="Kevin"/>
    <s v="Approved"/>
    <s v="No"/>
    <m/>
  </r>
  <r>
    <s v="Box 800 Default 2.0"/>
    <s v="MODI"/>
    <s v="Slider"/>
    <n v="130040670027765"/>
    <s v="TK"/>
    <n v="2023"/>
    <s v="Oct"/>
    <s v="Nov.12.2024"/>
    <n v="2"/>
    <m/>
    <n v="0"/>
    <s v="50000 Shot"/>
    <x v="2"/>
    <d v="2023-10-19T00:00:00"/>
    <n v="71000"/>
    <n v="1"/>
    <n v="71000"/>
    <s v="Kevin"/>
    <s v="Approved"/>
    <s v="No"/>
    <m/>
  </r>
  <r>
    <s v="Box 800 Default 2.0"/>
    <s v="MODI"/>
    <s v="Bottom cover"/>
    <n v="130040670018919"/>
    <s v="TK"/>
    <n v="2023"/>
    <s v="Oct"/>
    <s v="Nov.12.2024"/>
    <n v="2"/>
    <m/>
    <n v="0"/>
    <s v="50000 Shot"/>
    <x v="2"/>
    <d v="2023-10-19T00:00:00"/>
    <n v="98000.000000000015"/>
    <n v="1"/>
    <n v="98000.000000000015"/>
    <s v="Kevin"/>
    <s v="Approved"/>
    <s v="No"/>
    <m/>
  </r>
  <r>
    <s v="Box 800 Default 2.0"/>
    <s v="MODI"/>
    <s v="Plastic plug"/>
    <n v="130040670018925"/>
    <s v="TK"/>
    <n v="2023"/>
    <s v="Oct"/>
    <s v="Nov.12.2024"/>
    <n v="2"/>
    <m/>
    <n v="0"/>
    <s v="50000 Shot"/>
    <x v="2"/>
    <d v="2023-10-19T00:00:00"/>
    <n v="65000.000000000007"/>
    <n v="1"/>
    <n v="65000.000000000007"/>
    <s v="Kevin"/>
    <s v="Approved"/>
    <s v="No"/>
    <m/>
  </r>
  <r>
    <s v="Box 5000 Full 2.0"/>
    <s v="MODI"/>
    <s v="Heater top cover"/>
    <n v="130040670023445"/>
    <s v="TK"/>
    <n v="2024"/>
    <s v="Nov"/>
    <s v="Nov.12.2024"/>
    <n v="2"/>
    <m/>
    <n v="0"/>
    <s v="50000 Shot"/>
    <x v="0"/>
    <d v="2024-11-01T00:00:00"/>
    <n v="15044"/>
    <n v="1"/>
    <n v="15044"/>
    <s v="Chris"/>
    <s v="Approved"/>
    <s v="No"/>
    <s v="MD2.0 3&amp;5&amp;8K new ECN"/>
  </r>
  <r>
    <s v="Box 800 Default 2.0"/>
    <s v="MODI"/>
    <s v="Bottom cover"/>
    <n v="130040670018919"/>
    <s v="TK"/>
    <n v="2024"/>
    <s v="Dec"/>
    <s v="Nov.12.2024"/>
    <n v="2"/>
    <m/>
    <n v="0"/>
    <s v="50000 Shot"/>
    <x v="0"/>
    <d v="2023-12-11T00:00:00"/>
    <n v="5575.2212389380538"/>
    <n v="1"/>
    <n v="5575.2212389380538"/>
    <s v="Chris"/>
    <s v="Approved"/>
    <s v="No"/>
    <m/>
  </r>
  <r>
    <s v="Box 800 Default 2.0"/>
    <s v="MODI"/>
    <s v="Cartridge tank"/>
    <n v="130040670018928"/>
    <s v="TK"/>
    <n v="2024"/>
    <s v="JAN"/>
    <s v="Nov.12.2024"/>
    <n v="2"/>
    <m/>
    <n v="0"/>
    <s v="50000 Shot"/>
    <x v="0"/>
    <d v="2024-01-04T00:00:00"/>
    <n v="8442.4778761061953"/>
    <n v="1"/>
    <n v="8442.4778761061953"/>
    <s v="Chris"/>
    <s v="Approved"/>
    <s v="No"/>
    <m/>
  </r>
  <r>
    <s v="Box 800 Full 2.0"/>
    <s v="MODI"/>
    <s v="PCB_BRACKET"/>
    <n v="130040670023906"/>
    <s v="TK"/>
    <n v="2024"/>
    <s v="APR"/>
    <s v="Nov.12.2024"/>
    <n v="2"/>
    <m/>
    <n v="0"/>
    <s v="50000 Shot"/>
    <x v="0"/>
    <d v="2024-04-11T00:00:00"/>
    <n v="5752"/>
    <n v="1"/>
    <n v="5752"/>
    <s v="Chris"/>
    <s v="Approved"/>
    <s v="N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Box 800 Full 2.0"/>
    <s v="Inner bracket"/>
    <n v="130040670023899"/>
    <s v="TK"/>
    <n v="2024"/>
    <s v="JAN"/>
    <x v="0"/>
    <d v="2024-01-03T00:00:00"/>
    <n v="16106"/>
    <n v="1"/>
    <n v="16106"/>
    <s v="Chris Fang"/>
    <s v="Approved"/>
    <s v="No"/>
    <m/>
  </r>
  <r>
    <s v="Box 5000 Full 2.0"/>
    <s v="Inner bracket"/>
    <n v="130040670023440"/>
    <s v="TK"/>
    <n v="2024"/>
    <s v="JAN"/>
    <x v="0"/>
    <d v="2024-01-03T00:00:00"/>
    <n v="16106"/>
    <n v="1"/>
    <n v="16106"/>
    <s v="Chris Fang"/>
    <s v="Approved"/>
    <s v="No"/>
    <m/>
  </r>
  <r>
    <s v="Box 800 Default 2.0"/>
    <s v="Cartridge tank"/>
    <n v="130040670018928"/>
    <s v="TK"/>
    <n v="2024"/>
    <s v="JAN"/>
    <x v="1"/>
    <d v="2024-01-04T00:00:00"/>
    <n v="8442.4778761062007"/>
    <n v="2"/>
    <n v="16884.955752212401"/>
    <s v="Chris Fang"/>
    <s v="Approved"/>
    <s v="No"/>
    <m/>
  </r>
  <r>
    <s v="Box 5000 Full 2.0"/>
    <s v="Inner bracket"/>
    <n v="130040670023440"/>
    <s v="TK"/>
    <n v="2024"/>
    <s v="JAN"/>
    <x v="0"/>
    <d v="2024-01-07T00:00:00"/>
    <n v="8053.09734513274"/>
    <n v="1"/>
    <n v="8053.09734513274"/>
    <s v="Chris Fang"/>
    <s v="Approved"/>
    <s v="No"/>
    <m/>
  </r>
  <r>
    <s v="Box 5000 Full 2.0"/>
    <s v="Cartridge tank"/>
    <n v="130040670023444"/>
    <s v="TK"/>
    <n v="2024"/>
    <s v="JAN"/>
    <x v="0"/>
    <d v="2024-01-09T00:00:00"/>
    <n v="3539.8230088495602"/>
    <n v="1"/>
    <n v="3539.8230088495602"/>
    <s v="Chris Fang"/>
    <s v="Approved"/>
    <s v="No"/>
    <m/>
  </r>
  <r>
    <s v="Box 5000 Full 2.0"/>
    <s v="Heating holder"/>
    <n v="130040670023448"/>
    <s v="TK"/>
    <n v="2024"/>
    <s v="JAN"/>
    <x v="0"/>
    <d v="2024-01-17T00:00:00"/>
    <n v="5752.2123893805301"/>
    <n v="1"/>
    <n v="5752.2123893805301"/>
    <s v="Chris Fang"/>
    <s v="Approved"/>
    <s v="No"/>
    <m/>
  </r>
  <r>
    <s v="Box 5000 Full 2.0"/>
    <s v="Bottom cover"/>
    <n v="130040670023442"/>
    <s v="TK"/>
    <n v="2024"/>
    <s v="JAN"/>
    <x v="0"/>
    <d v="2024-01-17T00:00:00"/>
    <n v="2212.3893805309699"/>
    <n v="1"/>
    <n v="2212.3893805309699"/>
    <s v="Chris Fang"/>
    <s v="Approved"/>
    <s v="No"/>
    <m/>
  </r>
  <r>
    <s v="Box 800 Full 2.0"/>
    <s v="Battery top cover"/>
    <n v="130040670039455"/>
    <s v="TK"/>
    <n v="2024"/>
    <s v="JAN"/>
    <x v="0"/>
    <d v="2024-01-22T00:00:00"/>
    <n v="11061.9469026549"/>
    <n v="1"/>
    <n v="11061.9469026549"/>
    <s v="Chris Fang"/>
    <s v="Approved"/>
    <s v="No"/>
    <m/>
  </r>
  <r>
    <s v="Box 800 Full 2.0"/>
    <s v="Bottom cover"/>
    <n v="130040670023900"/>
    <s v="TK"/>
    <n v="2024"/>
    <s v="JAN"/>
    <x v="0"/>
    <d v="2024-01-22T00:00:00"/>
    <n v="8672.5663716814197"/>
    <n v="1"/>
    <n v="8672.5663716814197"/>
    <s v="Chris Fang"/>
    <s v="Approved"/>
    <s v="No"/>
    <m/>
  </r>
  <r>
    <s v="Box 800 Full 2.0"/>
    <s v="PCB_BRACKET"/>
    <n v="130040670023906"/>
    <s v="TK"/>
    <n v="2024"/>
    <s v="JAN"/>
    <x v="0"/>
    <d v="2024-01-22T00:00:00"/>
    <n v="3805"/>
    <n v="1"/>
    <n v="3805"/>
    <s v="Chris Fang"/>
    <s v="Approved"/>
    <s v="No"/>
    <m/>
  </r>
  <r>
    <s v="Box 800 Full 2.0"/>
    <s v="Battery bottom cover"/>
    <n v="130040670039442"/>
    <s v="TK"/>
    <n v="2024"/>
    <s v="JAN"/>
    <x v="0"/>
    <d v="2024-01-22T00:00:00"/>
    <n v="13717"/>
    <n v="1"/>
    <n v="13717"/>
    <s v="Chris Fang"/>
    <s v="Approved"/>
    <s v="No"/>
    <m/>
  </r>
  <r>
    <s v="Box 800 Full 2.0"/>
    <s v="Inner bracket"/>
    <n v="130040670023899"/>
    <s v="TK"/>
    <n v="2024"/>
    <s v="JAN"/>
    <x v="0"/>
    <d v="2024-01-22T00:00:00"/>
    <n v="20796"/>
    <n v="1"/>
    <n v="20796"/>
    <s v="Chris Fang"/>
    <s v="Approved"/>
    <s v="No"/>
    <m/>
  </r>
  <r>
    <s v="Box 5000 Full 2.0"/>
    <s v="Inner bracket"/>
    <n v="130040670023440"/>
    <s v="TK"/>
    <n v="2024"/>
    <s v="FEB"/>
    <x v="0"/>
    <d v="2024-02-19T00:00:00"/>
    <n v="12831.858407079601"/>
    <n v="1"/>
    <n v="12831.858407079601"/>
    <s v="Chris Fang"/>
    <s v="Approved"/>
    <s v="No"/>
    <m/>
  </r>
  <r>
    <s v="Box 800 Full 2.0"/>
    <s v="Battery top cover"/>
    <n v="130040670039455"/>
    <s v="TK"/>
    <n v="2024"/>
    <s v="FEB"/>
    <x v="0"/>
    <d v="2024-02-19T00:00:00"/>
    <n v="7964.60176991151"/>
    <n v="1"/>
    <n v="7964.60176991151"/>
    <s v="Chris Fang"/>
    <s v="Approved"/>
    <s v="No"/>
    <m/>
  </r>
  <r>
    <s v="Box 800 Full 2.0"/>
    <s v="PCB BRACKET"/>
    <n v="130040670023906"/>
    <s v="TK"/>
    <n v="2024"/>
    <s v="FEB"/>
    <x v="0"/>
    <d v="2024-02-19T00:00:00"/>
    <n v="2477.8761061946898"/>
    <n v="1"/>
    <n v="2477.8761061946898"/>
    <s v="Chris Fang"/>
    <s v="Approved"/>
    <s v="No"/>
    <m/>
  </r>
  <r>
    <s v="Box 5000 Full 2.0"/>
    <s v="Inner bracket"/>
    <n v="130040670023440"/>
    <s v="TK"/>
    <n v="2024"/>
    <s v="FEB"/>
    <x v="1"/>
    <d v="2024-02-19T00:00:00"/>
    <n v="33009"/>
    <n v="1"/>
    <n v="33009"/>
    <s v="Chris Fang"/>
    <s v="Approved"/>
    <s v="No"/>
    <m/>
  </r>
  <r>
    <s v="Box 800 Full 2.0"/>
    <s v="Bottom cover"/>
    <n v="130040670023900"/>
    <s v="TK"/>
    <n v="2024"/>
    <s v="FEB"/>
    <x v="0"/>
    <d v="2024-02-19T00:00:00"/>
    <n v="3097.34513274336"/>
    <n v="1"/>
    <n v="3097.34513274336"/>
    <s v="Chris Fang"/>
    <s v="Approved"/>
    <s v="No"/>
    <m/>
  </r>
  <r>
    <s v="Box 5000 Full 2.0"/>
    <s v="Inner bracket"/>
    <n v="130040670023440"/>
    <s v="TK"/>
    <n v="2024"/>
    <s v="FEB"/>
    <x v="0"/>
    <d v="2024-02-27T00:00:00"/>
    <n v="2389.3805309734498"/>
    <n v="1"/>
    <n v="2389.3805309734498"/>
    <s v="Chris Fang"/>
    <s v="Approved"/>
    <s v="No"/>
    <m/>
  </r>
  <r>
    <s v="Box 5000 Full 2.0"/>
    <s v="Inner bracket"/>
    <n v="130040670023440"/>
    <s v="TK"/>
    <n v="2024"/>
    <s v="FEB"/>
    <x v="0"/>
    <d v="2024-02-27T00:00:00"/>
    <n v="16504"/>
    <n v="1"/>
    <n v="16504"/>
    <s v="Chris Fang"/>
    <s v="Approved"/>
    <s v="No"/>
    <m/>
  </r>
  <r>
    <s v="Box 800 Full 2.0"/>
    <s v="Inner bracket"/>
    <n v="130040670023899"/>
    <s v="TK"/>
    <n v="2024"/>
    <s v="FEB"/>
    <x v="0"/>
    <d v="2024-02-27T00:00:00"/>
    <n v="2212.3893805309699"/>
    <n v="1"/>
    <n v="2212.3893805309699"/>
    <s v="Chris Fang"/>
    <s v="Approved"/>
    <s v="No"/>
    <m/>
  </r>
  <r>
    <s v="Box 5000 Full 2.0"/>
    <s v="Heater top cover"/>
    <n v="130040670023445"/>
    <s v="TK"/>
    <n v="2024"/>
    <s v="FEB"/>
    <x v="0"/>
    <d v="2024-02-28T00:00:00"/>
    <n v="31858"/>
    <n v="1"/>
    <n v="31858"/>
    <s v="Chris Fang"/>
    <s v="Approved"/>
    <s v="No"/>
    <m/>
  </r>
  <r>
    <s v="Box 800 Default 2.0"/>
    <s v="Heater top cover"/>
    <n v="130040670018929"/>
    <s v="TK"/>
    <n v="2024"/>
    <s v="MAR"/>
    <x v="1"/>
    <d v="2024-03-11T00:00:00"/>
    <n v="23363"/>
    <n v="1"/>
    <n v="23363"/>
    <s v="Chris Fang"/>
    <s v="Approved"/>
    <s v="No"/>
    <m/>
  </r>
  <r>
    <s v="Box 800 Full 2.0"/>
    <s v="Battery top cover"/>
    <n v="130040670039455"/>
    <s v="TK"/>
    <n v="2024"/>
    <s v="MAR"/>
    <x v="1"/>
    <d v="2024-03-21T00:00:00"/>
    <n v="34159"/>
    <n v="1"/>
    <n v="34159"/>
    <s v="Chris Fang"/>
    <s v="Approved"/>
    <s v="No"/>
    <m/>
  </r>
  <r>
    <s v="Box 800 Full 2.0"/>
    <s v="Battery bottom cover"/>
    <n v="130040670039442"/>
    <s v="TK"/>
    <n v="2024"/>
    <s v="MAR"/>
    <x v="1"/>
    <d v="2024-03-21T00:00:00"/>
    <n v="33363"/>
    <n v="1"/>
    <n v="33363"/>
    <s v="Chris Fang"/>
    <s v="Approved"/>
    <s v="No"/>
    <m/>
  </r>
  <r>
    <s v="Box 800 Default 2.0"/>
    <s v="Bottom cover"/>
    <n v="130040670018919"/>
    <s v="TK"/>
    <n v="2024"/>
    <s v="MAR"/>
    <x v="1"/>
    <d v="2024-03-25T00:00:00"/>
    <n v="556000"/>
    <n v="1"/>
    <n v="556000"/>
    <s v="Chris Fang"/>
    <s v="Approved"/>
    <s v="No"/>
    <m/>
  </r>
  <r>
    <s v="Box 800 Full 2.0"/>
    <s v="Battery bottom cover"/>
    <n v="130040670039442"/>
    <s v="TK"/>
    <n v="2024"/>
    <s v="MAR"/>
    <x v="0"/>
    <d v="2024-03-26T00:00:00"/>
    <n v="11238.938053097299"/>
    <n v="1"/>
    <n v="11238.938053097299"/>
    <s v="Chris Fang"/>
    <s v="Approved"/>
    <s v="No"/>
    <m/>
  </r>
  <r>
    <s v="Box 800 Full 2.0"/>
    <s v="Battery bottom cover"/>
    <n v="130040670039442"/>
    <s v="TK"/>
    <n v="2024"/>
    <s v="MAR"/>
    <x v="0"/>
    <d v="2024-03-26T00:00:00"/>
    <n v="12035"/>
    <n v="1"/>
    <n v="12035"/>
    <s v="Chris Fang"/>
    <s v="Approved"/>
    <s v="No"/>
    <m/>
  </r>
  <r>
    <s v="Box 800 Full 2.0"/>
    <s v="Battery bottom cover"/>
    <n v="130040670039442"/>
    <s v="TK"/>
    <n v="2024"/>
    <s v="MAR"/>
    <x v="1"/>
    <d v="2024-03-26T00:00:00"/>
    <n v="22124"/>
    <n v="1"/>
    <n v="22124"/>
    <s v="Chris Fang"/>
    <s v="Approved"/>
    <s v="No"/>
    <m/>
  </r>
  <r>
    <s v="Box 800 Full 2.0"/>
    <s v="Battery bottom cover"/>
    <n v="130040670039442"/>
    <s v="TK"/>
    <n v="2024"/>
    <s v="MAR"/>
    <x v="1"/>
    <d v="2024-03-26T00:00:00"/>
    <n v="22124"/>
    <n v="1"/>
    <n v="22124"/>
    <s v="Chris Fang"/>
    <s v="Approved"/>
    <s v="No"/>
    <m/>
  </r>
  <r>
    <s v="Pen 800 Full 2.0"/>
    <s v="Battery module top cover"/>
    <n v="130040670017658"/>
    <s v="TK"/>
    <n v="2024"/>
    <s v="APR"/>
    <x v="1"/>
    <d v="2024-04-03T00:00:00"/>
    <n v="6460.1769911504398"/>
    <n v="1"/>
    <n v="6460.1769911504398"/>
    <s v="Chris Fang"/>
    <s v="Approved"/>
    <s v="No"/>
    <m/>
  </r>
  <r>
    <s v="Box 5000 Full 2.0"/>
    <s v="Button"/>
    <n v="130040670017669"/>
    <s v="TK"/>
    <n v="2024"/>
    <s v="APR"/>
    <x v="1"/>
    <d v="2024-04-10T00:00:00"/>
    <n v="5752.2123893805301"/>
    <n v="1"/>
    <n v="5752.2123893805301"/>
    <s v="Chris Fang"/>
    <s v="Approved"/>
    <s v="No"/>
    <m/>
  </r>
  <r>
    <s v="Box 5000 Full 2.0"/>
    <s v="Button"/>
    <n v="130040670017669"/>
    <s v="TK"/>
    <n v="2024"/>
    <s v="APR"/>
    <x v="1"/>
    <d v="2024-04-10T00:00:00"/>
    <n v="5752.2123893805301"/>
    <n v="1"/>
    <n v="5752.2123893805301"/>
    <s v="Chris Fang"/>
    <s v="Approved"/>
    <s v="No"/>
    <m/>
  </r>
  <r>
    <s v="Box 5000 Full 2.0"/>
    <s v="Inner bracket"/>
    <n v="130040670023440"/>
    <s v="TK"/>
    <n v="2024"/>
    <s v="APR"/>
    <x v="0"/>
    <d v="2024-04-10T00:00:00"/>
    <n v="5309.7345132743403"/>
    <n v="1"/>
    <n v="5309.7345132743403"/>
    <s v="Chris Fang"/>
    <s v="Approved"/>
    <s v="No"/>
    <m/>
  </r>
  <r>
    <s v="Box 800 Full 2.0"/>
    <s v="PCB BRACKET"/>
    <n v="130040670023906"/>
    <s v="TK"/>
    <n v="2024"/>
    <s v="APR"/>
    <x v="1"/>
    <d v="2024-04-11T00:00:00"/>
    <n v="5752.2123893805301"/>
    <n v="1"/>
    <n v="5752.2123893805301"/>
    <s v="Chris Fang"/>
    <s v="Approved"/>
    <s v="No"/>
    <m/>
  </r>
  <r>
    <s v="Box 5000 Full 2.0"/>
    <s v="Inner bracket"/>
    <n v="130040670023440"/>
    <s v="TK"/>
    <n v="2024"/>
    <s v="APR"/>
    <x v="1"/>
    <d v="2024-04-11T00:00:00"/>
    <n v="15929.203539823"/>
    <n v="1"/>
    <n v="15929.203539823"/>
    <s v="Chris Fang"/>
    <s v="Approved"/>
    <s v="No"/>
    <m/>
  </r>
  <r>
    <s v="Box 5000 Full 2.0"/>
    <s v="Button"/>
    <n v="130040670017669"/>
    <s v="TK"/>
    <n v="2024"/>
    <s v="APR"/>
    <x v="1"/>
    <d v="2024-04-12T00:00:00"/>
    <n v="13539.8230088496"/>
    <n v="1"/>
    <n v="13539.8230088496"/>
    <s v="Chris Fang"/>
    <s v="Approved"/>
    <s v="No"/>
    <m/>
  </r>
  <r>
    <s v="Box 800 Full 2.0"/>
    <s v="Battery top cover"/>
    <n v="130040670039455"/>
    <s v="TK"/>
    <n v="2024"/>
    <s v="APR"/>
    <x v="1"/>
    <d v="2024-04-12T00:00:00"/>
    <n v="22124"/>
    <n v="1"/>
    <n v="22124"/>
    <s v="Chris Fang"/>
    <s v="Approved"/>
    <s v="No"/>
    <m/>
  </r>
  <r>
    <s v="Box 800 Full 2.0"/>
    <s v="Battery bottom cover"/>
    <n v="130040670039442"/>
    <s v="TK"/>
    <n v="2024"/>
    <s v="APR"/>
    <x v="1"/>
    <d v="2024-04-12T00:00:00"/>
    <n v="22124"/>
    <n v="1"/>
    <n v="22124"/>
    <s v="Chris Fang"/>
    <s v="Approved"/>
    <s v="No"/>
    <m/>
  </r>
  <r>
    <s v="Pen 800 Full 2.0"/>
    <s v="Battery module top cover"/>
    <n v="130040670017658"/>
    <s v="TK"/>
    <n v="2024"/>
    <s v="APR"/>
    <x v="1"/>
    <d v="2024-04-13T00:00:00"/>
    <n v="6460.1769911504398"/>
    <n v="1"/>
    <n v="6460.1769911504398"/>
    <s v="Chris Fang"/>
    <s v="Approved"/>
    <s v="No"/>
    <m/>
  </r>
  <r>
    <s v="Box 5000 Full 2.0"/>
    <s v="PCBA Bracket"/>
    <n v="130040670024534"/>
    <s v="TK"/>
    <n v="2024"/>
    <s v="APR"/>
    <x v="1"/>
    <d v="2024-04-13T00:00:00"/>
    <n v="5752.2123893805301"/>
    <n v="1"/>
    <n v="5752.2123893805301"/>
    <s v="Chris Fang"/>
    <s v="Approved"/>
    <s v="No"/>
    <m/>
  </r>
  <r>
    <s v="Pen 800 Full 2.0"/>
    <s v="Heater top cover"/>
    <n v="130040670021246"/>
    <s v="TK"/>
    <n v="2024"/>
    <s v="APR"/>
    <x v="1"/>
    <d v="2024-04-16T00:00:00"/>
    <n v="11272.5663716814"/>
    <n v="1"/>
    <n v="11272.5663716814"/>
    <s v="Chris Fang"/>
    <s v="Approved"/>
    <s v="No"/>
    <m/>
  </r>
  <r>
    <s v="Box 800 Full 2.0"/>
    <s v="Inner bracket"/>
    <n v="130040670023899"/>
    <s v="TK"/>
    <n v="2024"/>
    <s v="APR"/>
    <x v="0"/>
    <d v="2024-04-16T00:00:00"/>
    <n v="3362.8318584070798"/>
    <n v="1"/>
    <n v="3362.8318584070798"/>
    <s v="Chris Fang"/>
    <s v="Approved"/>
    <s v="No"/>
    <m/>
  </r>
  <r>
    <s v="Box 8000 Full 2.0"/>
    <s v="Plastic plug"/>
    <n v="130040670043029"/>
    <s v="TK"/>
    <n v="2024"/>
    <s v="APR"/>
    <x v="0"/>
    <d v="2024-04-19T00:00:00"/>
    <n v="2212.3893805309699"/>
    <n v="1"/>
    <n v="2212.3893805309699"/>
    <s v="Chris Fang"/>
    <s v="Approved"/>
    <s v="No"/>
    <m/>
  </r>
  <r>
    <s v="Box 800 Full 2.0"/>
    <s v="Battery bottom cover"/>
    <n v="130040670039442"/>
    <s v="TK"/>
    <n v="2024"/>
    <s v="APR"/>
    <x v="1"/>
    <d v="2024-04-19T00:00:00"/>
    <n v="22123.893805309701"/>
    <n v="1"/>
    <n v="22123.893805309701"/>
    <s v="Chris Fang"/>
    <s v="Approved"/>
    <s v="No"/>
    <m/>
  </r>
  <r>
    <s v="Box 800 Full 2.0"/>
    <s v="Battery top cover"/>
    <n v="130040670039455"/>
    <s v="TK"/>
    <n v="2024"/>
    <s v="APR"/>
    <x v="1"/>
    <d v="2024-04-19T00:00:00"/>
    <n v="22123.893805309701"/>
    <n v="1"/>
    <n v="22123.893805309701"/>
    <s v="Chris Fang"/>
    <s v="Approved"/>
    <s v="No"/>
    <m/>
  </r>
  <r>
    <s v="Box 5000 Full 2.0"/>
    <s v="Button"/>
    <n v="130040670017669"/>
    <s v="TK"/>
    <n v="2024"/>
    <s v="APR"/>
    <x v="1"/>
    <d v="2024-04-29T00:00:00"/>
    <n v="25663.716814159299"/>
    <n v="1"/>
    <n v="25663.716814159299"/>
    <s v="Chris Fang"/>
    <s v="Approved"/>
    <s v="No"/>
    <m/>
  </r>
  <r>
    <s v="Box 5000 Full 2.0"/>
    <s v="Button"/>
    <n v="130040670017669"/>
    <s v="TK"/>
    <n v="2024"/>
    <s v="MAY"/>
    <x v="1"/>
    <d v="2024-05-09T00:00:00"/>
    <n v="10176.9911504425"/>
    <n v="1"/>
    <n v="10176.9911504425"/>
    <s v="Chris Fang"/>
    <s v="Approved"/>
    <s v="No"/>
    <m/>
  </r>
  <r>
    <s v="Box 5000 Full 2.0"/>
    <s v="Button"/>
    <n v="130040670017669"/>
    <s v="TK"/>
    <n v="2024"/>
    <s v="MAY"/>
    <x v="1"/>
    <d v="2024-05-29T00:00:00"/>
    <n v="13539.8230088496"/>
    <n v="1"/>
    <n v="13539.8230088496"/>
    <s v="Chris Fang"/>
    <s v="Approved"/>
    <s v="No"/>
    <m/>
  </r>
  <r>
    <s v="Box 5000 Full 2.0"/>
    <s v="Heating holder"/>
    <n v="130040670023448"/>
    <s v="TK"/>
    <n v="2024"/>
    <s v="MAY"/>
    <x v="0"/>
    <d v="2024-05-29T00:00:00"/>
    <n v="10176.991150442478"/>
    <n v="1"/>
    <n v="10176.991150442478"/>
    <s v="Chris Fang"/>
    <s v="Approved"/>
    <s v="No"/>
    <m/>
  </r>
  <r>
    <s v="Box 5000 Full 2.0"/>
    <s v="Heater top cover"/>
    <n v="130040670023445"/>
    <s v="TK"/>
    <n v="2024"/>
    <s v="JUL"/>
    <x v="0"/>
    <d v="2024-07-29T00:00:00"/>
    <n v="3645.1327433628321"/>
    <n v="1"/>
    <n v="3645.1327433628321"/>
    <s v="Chris Fang"/>
    <s v="Approved"/>
    <s v="No"/>
    <m/>
  </r>
  <r>
    <s v="Box 5000 Full 2.0"/>
    <s v="Inner bracket"/>
    <n v="130040670023440"/>
    <s v="TK"/>
    <n v="2024"/>
    <s v="SEP"/>
    <x v="0"/>
    <d v="2024-09-26T00:00:00"/>
    <n v="6866.3716814159297"/>
    <n v="1"/>
    <n v="6866.3716814159297"/>
    <s v="Chris Fang"/>
    <s v="Approved"/>
    <s v="No"/>
    <m/>
  </r>
  <r>
    <s v="Box 3000 Full 2.0"/>
    <s v="Cartridge tank"/>
    <s v="/"/>
    <s v="TK"/>
    <n v="2024"/>
    <s v="APR"/>
    <x v="2"/>
    <d v="2024-04-01T00:00:00"/>
    <n v="187000"/>
    <n v="1"/>
    <n v="187000"/>
    <s v="Chris Fang"/>
    <s v="Approved"/>
    <s v="No"/>
    <m/>
  </r>
  <r>
    <s v="Box 3000 Full 2.0"/>
    <s v="Plastic plug"/>
    <s v="/"/>
    <s v="TK"/>
    <n v="2024"/>
    <s v="APR"/>
    <x v="2"/>
    <d v="2024-04-01T00:00:00"/>
    <n v="75000"/>
    <n v="1"/>
    <n v="75000"/>
    <s v="Chris Fang"/>
    <s v="Approved"/>
    <s v="No"/>
    <m/>
  </r>
  <r>
    <s v="Box 5000 Full 2.0"/>
    <s v="Bottom cover"/>
    <n v="130040670023442"/>
    <s v="TK"/>
    <n v="2024"/>
    <s v="FEB"/>
    <x v="0"/>
    <d v="2024-02-19T00:00:00"/>
    <n v="12655"/>
    <n v="1"/>
    <n v="12655"/>
    <s v="Chris Fang"/>
    <s v="Approved"/>
    <s v="No"/>
    <m/>
  </r>
  <r>
    <s v="Box 5000 Full 2.0"/>
    <s v="Inner bracket"/>
    <n v="130040670023440"/>
    <s v="TK"/>
    <n v="2024"/>
    <s v="AUG"/>
    <x v="1"/>
    <d v="2024-08-29T00:00:00"/>
    <n v="7759"/>
    <n v="1"/>
    <n v="7759"/>
    <s v="Chris Fang"/>
    <s v="Approved"/>
    <s v="No"/>
    <m/>
  </r>
  <r>
    <s v="Box 800 Full 2.0"/>
    <s v="Button"/>
    <n v="130040670017669"/>
    <s v="TK"/>
    <n v="2024"/>
    <s v="APR"/>
    <x v="1"/>
    <d v="2024-04-10T00:00:00"/>
    <n v="6500"/>
    <n v="1"/>
    <n v="6500"/>
    <s v="Chris Fang"/>
    <s v="Approved"/>
    <s v="No"/>
    <m/>
  </r>
  <r>
    <s v="Box 800 Default 2.0"/>
    <s v="Cartridge tank"/>
    <n v="130040670018928"/>
    <s v="TK"/>
    <n v="2024"/>
    <s v="JAN"/>
    <x v="3"/>
    <d v="2024-01-31T00:00:00"/>
    <n v="840000"/>
    <n v="5"/>
    <n v="4200000"/>
    <s v="Chris Fang"/>
    <s v="Approved"/>
    <s v="No"/>
    <m/>
  </r>
  <r>
    <s v="Box 800 Default 2.0"/>
    <s v="Heater top cover"/>
    <n v="130040670018929"/>
    <s v="TK"/>
    <n v="2024"/>
    <s v="JAN"/>
    <x v="3"/>
    <d v="2024-01-31T00:00:00"/>
    <n v="451000"/>
    <n v="2"/>
    <n v="902000"/>
    <s v="Chris Fang"/>
    <s v="Approved"/>
    <s v="No"/>
    <m/>
  </r>
  <r>
    <s v="Box 800 Default 2.0"/>
    <s v="Heating holder"/>
    <n v="130040670018930"/>
    <s v="TK"/>
    <n v="2024"/>
    <s v="JAN"/>
    <x v="3"/>
    <d v="2024-01-31T00:00:00"/>
    <n v="514000"/>
    <n v="2"/>
    <n v="1028000"/>
    <s v="Chris Fang"/>
    <s v="Approved"/>
    <s v="No"/>
    <m/>
  </r>
  <r>
    <s v="Box 800 Default 2.0"/>
    <s v="Slider"/>
    <n v="130040670027765"/>
    <s v="TK"/>
    <n v="2024"/>
    <s v="JAN"/>
    <x v="3"/>
    <d v="2024-01-31T00:00:00"/>
    <n v="380000"/>
    <n v="4"/>
    <n v="1520000"/>
    <s v="Chris Fang"/>
    <s v="Approved"/>
    <s v="No"/>
    <m/>
  </r>
  <r>
    <s v="Box 800 Default 2.0"/>
    <s v="Bottom cover"/>
    <n v="130040670018919"/>
    <s v="TK"/>
    <n v="2024"/>
    <s v="JAN"/>
    <x v="3"/>
    <d v="2024-01-31T00:00:00"/>
    <n v="850000"/>
    <n v="2"/>
    <n v="1700000"/>
    <s v="Chris Fang"/>
    <s v="Approved"/>
    <s v="No"/>
    <m/>
  </r>
  <r>
    <s v="Box 800 Default 2.0"/>
    <s v="Plastic plug"/>
    <n v="130040670018925"/>
    <s v="TK"/>
    <n v="2024"/>
    <s v="JAN"/>
    <x v="3"/>
    <d v="2024-01-31T00:00:00"/>
    <n v="257000"/>
    <n v="2"/>
    <n v="514000"/>
    <s v="Chris Fang"/>
    <s v="Approved"/>
    <s v="No"/>
    <m/>
  </r>
  <r>
    <s v="Box 800 Full 2.0"/>
    <s v="Inner bracket"/>
    <n v="130040670023899"/>
    <s v="TK"/>
    <n v="2024"/>
    <s v="JAN"/>
    <x v="3"/>
    <d v="2024-01-31T00:00:00"/>
    <n v="1100000"/>
    <n v="1"/>
    <n v="1100000"/>
    <s v="Chris Fang"/>
    <s v="Approved"/>
    <s v="No"/>
    <m/>
  </r>
  <r>
    <s v="Box 800 Full 2.0"/>
    <s v="Bottom cover"/>
    <n v="130040670023900"/>
    <s v="TK"/>
    <n v="2024"/>
    <s v="JAN"/>
    <x v="3"/>
    <d v="2024-01-31T00:00:00"/>
    <n v="999000"/>
    <n v="1"/>
    <n v="999000"/>
    <s v="Chris Fang"/>
    <s v="Approved"/>
    <s v="No"/>
    <m/>
  </r>
  <r>
    <s v="Box 800 Full 2.0"/>
    <s v="PCB BRACKET"/>
    <n v="130040670023906"/>
    <s v="TK"/>
    <n v="2024"/>
    <s v="JAN"/>
    <x v="3"/>
    <d v="2024-01-31T00:00:00"/>
    <n v="355000"/>
    <n v="1"/>
    <n v="355000"/>
    <s v="Chris Fang"/>
    <s v="Approved"/>
    <s v="No"/>
    <m/>
  </r>
  <r>
    <s v="Box 800 Full 2.0"/>
    <s v="Battery top cover"/>
    <n v="130040670039455"/>
    <s v="TK"/>
    <n v="2024"/>
    <s v="JAN"/>
    <x v="3"/>
    <d v="2024-01-31T00:00:00"/>
    <n v="510000"/>
    <n v="2"/>
    <n v="1020000"/>
    <s v="Chris Fang"/>
    <s v="Approved"/>
    <s v="No"/>
    <m/>
  </r>
  <r>
    <s v="Box 800 Full 2.0"/>
    <s v="Battery bottom cover"/>
    <n v="130040670039442"/>
    <s v="TK"/>
    <n v="2024"/>
    <s v="JAN"/>
    <x v="3"/>
    <d v="2024-01-31T00:00:00"/>
    <n v="510000"/>
    <n v="2"/>
    <n v="1020000"/>
    <s v="Chris Fang"/>
    <s v="Approved"/>
    <s v="No"/>
    <m/>
  </r>
  <r>
    <s v="Box 800 Full 2.0"/>
    <s v="Button"/>
    <n v="130040670017669"/>
    <s v="TK"/>
    <n v="2024"/>
    <s v="JAN"/>
    <x v="3"/>
    <d v="2024-01-31T00:00:00"/>
    <n v="380000"/>
    <n v="2"/>
    <n v="760000"/>
    <s v="Chris Fang"/>
    <s v="Approved"/>
    <s v="No"/>
    <m/>
  </r>
  <r>
    <s v="Pen 800 Default 2.0"/>
    <s v="Cartridge tank"/>
    <n v="130040670021245"/>
    <s v="TK"/>
    <n v="2024"/>
    <s v="JAN"/>
    <x v="3"/>
    <d v="2024-01-31T00:00:00"/>
    <n v="630000"/>
    <n v="5"/>
    <n v="3150000"/>
    <s v="Chris Fang"/>
    <s v="Approved"/>
    <s v="No"/>
    <m/>
  </r>
  <r>
    <s v="Pen 800 Default 2.0"/>
    <s v="Heater top cover"/>
    <n v="130040670021246"/>
    <s v="TK"/>
    <n v="2024"/>
    <s v="JAN"/>
    <x v="3"/>
    <d v="2024-01-31T00:00:00"/>
    <n v="450000"/>
    <n v="3"/>
    <n v="1350000"/>
    <s v="Chris Fang"/>
    <s v="Approved"/>
    <s v="No"/>
    <m/>
  </r>
  <r>
    <s v="Pen 800 Default 2.0"/>
    <s v="Heating holder"/>
    <n v="130040670026558"/>
    <s v="TK"/>
    <n v="2024"/>
    <s v="JAN"/>
    <x v="3"/>
    <d v="2024-01-31T00:00:00"/>
    <n v="510000"/>
    <n v="3"/>
    <n v="1530000"/>
    <s v="Chris Fang"/>
    <s v="Approved"/>
    <s v="No"/>
    <m/>
  </r>
  <r>
    <s v="Pen 800 Default 2.0"/>
    <s v="Bottom cover"/>
    <n v="130040670021244"/>
    <s v="TK"/>
    <n v="2024"/>
    <s v="JAN"/>
    <x v="3"/>
    <d v="2024-01-31T00:00:00"/>
    <n v="630000"/>
    <n v="2"/>
    <n v="1260000"/>
    <s v="Chris Fang"/>
    <s v="Approved"/>
    <s v="No"/>
    <m/>
  </r>
  <r>
    <s v="Pen 800 Full 2.0"/>
    <s v="Bottom cover"/>
    <n v="130040670017656"/>
    <s v="TK"/>
    <n v="2024"/>
    <s v="JAN"/>
    <x v="3"/>
    <d v="2024-01-31T00:00:00"/>
    <n v="525000"/>
    <n v="1"/>
    <n v="525000"/>
    <s v="Chris Fang"/>
    <s v="Approved"/>
    <s v="No"/>
    <m/>
  </r>
  <r>
    <s v="Pen 800 Full 2.0"/>
    <s v="Inner bracket"/>
    <n v="130040670017662"/>
    <s v="TK"/>
    <n v="2024"/>
    <s v="JAN"/>
    <x v="3"/>
    <d v="2024-01-31T00:00:00"/>
    <n v="589000"/>
    <n v="1"/>
    <n v="589000"/>
    <s v="Chris Fang"/>
    <s v="Approved"/>
    <s v="No"/>
    <m/>
  </r>
  <r>
    <s v="Pen 800 Full 2.0"/>
    <s v="Battery module top cover"/>
    <n v="130040670017658"/>
    <s v="TK"/>
    <n v="2024"/>
    <s v="JAN"/>
    <x v="3"/>
    <d v="2024-01-31T00:00:00"/>
    <n v="325000"/>
    <n v="1"/>
    <n v="325000"/>
    <s v="Chris Fang"/>
    <s v="Approved"/>
    <s v="No"/>
    <m/>
  </r>
  <r>
    <s v="Box 5000 Full 2.0"/>
    <s v="Cartridge tank"/>
    <n v="130040670023444"/>
    <s v="TK"/>
    <n v="2024"/>
    <s v="JAN"/>
    <x v="3"/>
    <d v="2024-01-31T00:00:00"/>
    <n v="990000"/>
    <n v="2"/>
    <n v="1980000"/>
    <s v="Chris Fang"/>
    <s v="Approved"/>
    <s v="No"/>
    <m/>
  </r>
  <r>
    <s v="Box 5000 Full 2.0"/>
    <s v="Heater top cover"/>
    <n v="130040670023445"/>
    <s v="TK"/>
    <n v="2024"/>
    <s v="JAN"/>
    <x v="3"/>
    <d v="2024-01-31T00:00:00"/>
    <n v="570000"/>
    <n v="1"/>
    <n v="570000"/>
    <s v="Chris Fang"/>
    <s v="Approved"/>
    <s v="No"/>
    <m/>
  </r>
  <r>
    <s v="Box 5000 Full 2.0"/>
    <s v="Heating holder"/>
    <n v="130040670023448"/>
    <s v="TK"/>
    <n v="2024"/>
    <s v="JAN"/>
    <x v="3"/>
    <d v="2024-01-31T00:00:00"/>
    <n v="615000"/>
    <n v="1"/>
    <n v="615000"/>
    <s v="Chris Fang"/>
    <s v="Approved"/>
    <s v="No"/>
    <m/>
  </r>
  <r>
    <s v="Box 5000 Full 2.0"/>
    <s v="Inner bracket"/>
    <n v="130040670023440"/>
    <s v="TK"/>
    <n v="2024"/>
    <s v="JAN"/>
    <x v="3"/>
    <d v="2024-01-31T00:00:00"/>
    <n v="1100000"/>
    <n v="1"/>
    <n v="1100000"/>
    <s v="Chris Fang"/>
    <s v="Approved"/>
    <s v="No"/>
    <m/>
  </r>
  <r>
    <s v="Box 5000 Full 2.0"/>
    <s v="Bottom cover"/>
    <n v="130040670023442"/>
    <s v="TK"/>
    <n v="2024"/>
    <s v="JAN"/>
    <x v="3"/>
    <d v="2024-01-31T00:00:00"/>
    <n v="999000"/>
    <n v="1"/>
    <n v="999000"/>
    <s v="Chris Fang"/>
    <s v="Approved"/>
    <s v="No"/>
    <m/>
  </r>
  <r>
    <s v="Box 5000 Full 2.0"/>
    <s v="PCBA Bracket"/>
    <n v="130040670024534"/>
    <s v="TK"/>
    <n v="2024"/>
    <s v="JAN"/>
    <x v="3"/>
    <d v="2024-01-31T00:00:00"/>
    <n v="345000"/>
    <n v="1"/>
    <n v="345000"/>
    <s v="Chris Fang"/>
    <s v="Approved"/>
    <s v="No"/>
    <m/>
  </r>
  <r>
    <s v="Box 5000 Full 2.0"/>
    <s v=" Plastic plug"/>
    <n v="130040670023443"/>
    <s v="TK"/>
    <n v="2024"/>
    <s v="JAN"/>
    <x v="3"/>
    <d v="2024-01-31T00:00:00"/>
    <n v="315000"/>
    <n v="1"/>
    <n v="315000"/>
    <s v="Chris Fang"/>
    <s v="Approved"/>
    <s v="No"/>
    <m/>
  </r>
  <r>
    <s v="Box 5000 Full 2.0"/>
    <s v="Bottom cover"/>
    <n v="130040670023442"/>
    <s v="TK"/>
    <n v="2024"/>
    <s v="FEB"/>
    <x v="0"/>
    <d v="2024-02-19T00:00:00"/>
    <n v="12655"/>
    <n v="1"/>
    <n v="12655"/>
    <s v="Chris Fang"/>
    <s v="Approved"/>
    <s v="No"/>
    <m/>
  </r>
  <r>
    <s v="Box 800 Default 2.0"/>
    <s v="Heating holder"/>
    <n v="130040670018930"/>
    <s v="TK"/>
    <n v="2023"/>
    <s v="NOV"/>
    <x v="1"/>
    <d v="2023-11-21T00:00:00"/>
    <n v="153539"/>
    <n v="1"/>
    <n v="153539"/>
    <s v="Chris Fang"/>
    <s v="Approved"/>
    <s v="No"/>
    <m/>
  </r>
  <r>
    <s v="Box 800 Default 2.0"/>
    <s v="Cartridge tank"/>
    <n v="130040670018928"/>
    <s v="TK"/>
    <n v="2023"/>
    <s v="NOV"/>
    <x v="1"/>
    <d v="2023-11-24T00:00:00"/>
    <n v="20353.982300884956"/>
    <n v="1"/>
    <n v="20353.982300884956"/>
    <s v="Chris Fang"/>
    <s v="Approved"/>
    <s v="No"/>
    <m/>
  </r>
  <r>
    <s v="Box 800 Default 2.0"/>
    <s v="Slider"/>
    <n v="130040670027765"/>
    <s v="TK"/>
    <n v="2023"/>
    <s v="NOV"/>
    <x v="1"/>
    <d v="2023-11-29T00:00:00"/>
    <n v="94931.85840707965"/>
    <n v="1"/>
    <n v="94931.85840707965"/>
    <s v="Chris Fang"/>
    <s v="Approved"/>
    <s v="No"/>
    <m/>
  </r>
  <r>
    <s v="Box 800 Default 2.0"/>
    <s v="Heating holder"/>
    <n v="130040670018930"/>
    <s v="TK"/>
    <n v="2023"/>
    <s v="NOV"/>
    <x v="0"/>
    <d v="2023-11-16T00:00:00"/>
    <n v="60176.991150442482"/>
    <n v="1"/>
    <n v="60176.991150442482"/>
    <s v="Chris Fang"/>
    <s v="Approved"/>
    <s v="No"/>
    <m/>
  </r>
  <r>
    <s v="Box 800 Default 2.0"/>
    <s v="Heating holder"/>
    <n v="130040670018930"/>
    <s v="TK"/>
    <n v="2023"/>
    <s v="NOV"/>
    <x v="0"/>
    <d v="2023-11-22T00:00:00"/>
    <n v="4867.2566371681423"/>
    <n v="1"/>
    <n v="4867.2566371681423"/>
    <s v="Chris Fang"/>
    <s v="Approved"/>
    <s v="No"/>
    <m/>
  </r>
  <r>
    <s v="Box 800 Default 2.0"/>
    <s v="Cartridge tank"/>
    <n v="130040670018928"/>
    <s v="TK"/>
    <n v="2023"/>
    <s v="NOV"/>
    <x v="0"/>
    <d v="2023-11-22T00:00:00"/>
    <n v="5200.0000000000009"/>
    <n v="1"/>
    <n v="5200.0000000000009"/>
    <s v="Chris Fang"/>
    <s v="Approved"/>
    <s v="No"/>
    <m/>
  </r>
  <r>
    <s v="Box 800 Default 2.0"/>
    <s v="Slider"/>
    <n v="130040670027765"/>
    <s v="TK"/>
    <n v="2023"/>
    <s v="NOV"/>
    <x v="0"/>
    <d v="2023-11-24T00:00:00"/>
    <n v="10619.469026548673"/>
    <n v="1"/>
    <n v="10619.469026548673"/>
    <s v="Chris Fang"/>
    <s v="Approved"/>
    <s v="No"/>
    <m/>
  </r>
  <r>
    <s v="Box 5000 Full 2.0"/>
    <s v="Heating holder"/>
    <n v="130040670023448"/>
    <s v="TK"/>
    <n v="2023"/>
    <s v="NOV"/>
    <x v="0"/>
    <d v="2023-11-22T00:00:00"/>
    <n v="12600.000000000002"/>
    <n v="1"/>
    <n v="12600.000000000002"/>
    <s v="Chris Fang"/>
    <s v="Approved"/>
    <s v="No"/>
    <m/>
  </r>
  <r>
    <s v="Box 5000 Full 2.0"/>
    <s v="Heater top cover"/>
    <n v="130040670023445"/>
    <s v="TK"/>
    <n v="2023"/>
    <s v="NOV"/>
    <x v="0"/>
    <d v="2023-11-22T00:00:00"/>
    <n v="11279.646017699117"/>
    <n v="1"/>
    <n v="11279.646017699117"/>
    <s v="Chris Fang"/>
    <s v="Approved"/>
    <s v="No"/>
    <m/>
  </r>
  <r>
    <s v="Box 800 Default 2.0"/>
    <s v="Heating holder"/>
    <n v="130040670018930"/>
    <s v="TK"/>
    <n v="2023"/>
    <s v="DEC"/>
    <x v="0"/>
    <d v="2023-12-07T00:00:00"/>
    <n v="5911.5044247787619"/>
    <n v="1"/>
    <n v="5911.5044247787619"/>
    <s v="Chris Fang"/>
    <s v="Approved"/>
    <s v="No"/>
    <m/>
  </r>
  <r>
    <s v="Box 800 Default 2.0"/>
    <s v="Heating holder"/>
    <n v="130040670018930"/>
    <s v="TK"/>
    <n v="2023"/>
    <s v="DEC"/>
    <x v="1"/>
    <d v="2023-12-07T00:00:00"/>
    <n v="8460.1769911504434"/>
    <n v="1"/>
    <n v="8460.1769911504434"/>
    <s v="Chris Fang"/>
    <s v="Approved"/>
    <s v="No"/>
    <m/>
  </r>
  <r>
    <s v="Box 800 Default 2.0"/>
    <s v="Heating holder"/>
    <n v="130040670018930"/>
    <s v="TK"/>
    <n v="2023"/>
    <s v="DEC"/>
    <x v="0"/>
    <d v="2023-12-11T00:00:00"/>
    <n v="5575.2212389380538"/>
    <n v="1"/>
    <n v="5575.2212389380538"/>
    <s v="Chris Fang"/>
    <s v="Approved"/>
    <s v="No"/>
    <m/>
  </r>
  <r>
    <s v="Box 800 Full 2.0"/>
    <s v="Inner bracket"/>
    <n v="130040670023899"/>
    <s v="TK"/>
    <n v="2023"/>
    <s v="DEC"/>
    <x v="0"/>
    <d v="2023-12-12T00:00:00"/>
    <n v="1061.9469026548672"/>
    <n v="1"/>
    <n v="1061.9469026548672"/>
    <s v="Chris Fang"/>
    <s v="Approved"/>
    <s v="No"/>
    <m/>
  </r>
  <r>
    <s v="Box 800 Full 2.0"/>
    <s v="PCB BRACKET"/>
    <n v="130040670023906"/>
    <s v="TK"/>
    <n v="2023"/>
    <s v="DEC"/>
    <x v="0"/>
    <d v="2023-12-12T00:00:00"/>
    <n v="2477.8761061946907"/>
    <n v="1"/>
    <n v="2477.8761061946907"/>
    <s v="Chris Fang"/>
    <s v="Approved"/>
    <s v="No"/>
    <m/>
  </r>
  <r>
    <s v="Box 800 Full 2.0"/>
    <s v="Bottom cover"/>
    <n v="130040670023900"/>
    <s v="TK"/>
    <n v="2023"/>
    <s v="DEC"/>
    <x v="0"/>
    <d v="2023-12-12T00:00:00"/>
    <n v="3097.3451327433631"/>
    <n v="1"/>
    <n v="3097.3451327433631"/>
    <s v="Chris Fang"/>
    <s v="Approved"/>
    <s v="No"/>
    <m/>
  </r>
  <r>
    <s v="Box 800 Full 2.0"/>
    <s v="Battery top cover"/>
    <n v="130040670039455"/>
    <s v="TK"/>
    <n v="2023"/>
    <s v="DEC"/>
    <x v="0"/>
    <d v="2023-12-12T00:00:00"/>
    <n v="9889.3805309734526"/>
    <n v="1"/>
    <n v="9889.3805309734526"/>
    <s v="Chris Fang"/>
    <s v="Approved"/>
    <s v="No"/>
    <m/>
  </r>
  <r>
    <s v="Box 800 Full 2.0"/>
    <s v="Battery bottom cover"/>
    <n v="130040670039442"/>
    <s v="TK"/>
    <n v="2023"/>
    <s v="DEC"/>
    <x v="0"/>
    <d v="2023-12-12T00:00:00"/>
    <n v="9889.3805309734526"/>
    <n v="1"/>
    <n v="9889.3805309734526"/>
    <s v="Chris Fang"/>
    <s v="Approved"/>
    <s v="No"/>
    <m/>
  </r>
  <r>
    <s v="Box 5000 Full 2.0"/>
    <s v="PCBA Bracket"/>
    <n v="130040670024534"/>
    <s v="TK"/>
    <n v="2023"/>
    <s v="DEC"/>
    <x v="0"/>
    <d v="2023-12-12T00:00:00"/>
    <n v="6750.4424778761068"/>
    <n v="1"/>
    <n v="6750.4424778761068"/>
    <s v="Chris Fang"/>
    <s v="Approved"/>
    <s v="No"/>
    <m/>
  </r>
  <r>
    <s v="Box 5000 Full 2.0"/>
    <s v="Inner bracket"/>
    <n v="130040670023440"/>
    <s v="TK"/>
    <n v="2023"/>
    <s v="DEC"/>
    <x v="0"/>
    <d v="2023-12-12T00:00:00"/>
    <n v="5575.2212389380538"/>
    <n v="1"/>
    <n v="5575.2212389380538"/>
    <s v="Chris Fang"/>
    <s v="Approved"/>
    <s v="No"/>
    <m/>
  </r>
  <r>
    <s v="Box 800 Default 2.0"/>
    <s v="Heating holder"/>
    <n v="130040670018930"/>
    <s v="TK"/>
    <n v="2023"/>
    <s v="DEC"/>
    <x v="1"/>
    <d v="2023-12-15T00:00:00"/>
    <n v="79969.911504424788"/>
    <n v="1"/>
    <n v="79969.911504424788"/>
    <s v="Chris Fang"/>
    <s v="Approved"/>
    <s v="No"/>
    <m/>
  </r>
  <r>
    <s v="Box 800 Full 2.0"/>
    <s v="PCB BRACKET"/>
    <n v="130040670023906"/>
    <s v="TK"/>
    <n v="2023"/>
    <s v="DEC"/>
    <x v="0"/>
    <d v="2023-12-18T00:00:00"/>
    <n v="4601.7699115044252"/>
    <n v="1"/>
    <n v="4601.7699115044252"/>
    <s v="Chris Fang"/>
    <s v="Approved"/>
    <s v="No"/>
    <m/>
  </r>
  <r>
    <s v="Box 800 Full 2.0"/>
    <s v="Inner bracket"/>
    <n v="130040670023899"/>
    <s v="TK"/>
    <n v="2023"/>
    <s v="DEC"/>
    <x v="0"/>
    <d v="2023-12-18T00:00:00"/>
    <n v="3362.8318584070798"/>
    <n v="1"/>
    <n v="3362.8318584070798"/>
    <s v="Chris Fang"/>
    <s v="Approved"/>
    <s v="No"/>
    <m/>
  </r>
  <r>
    <s v="Box 800 Full 2.0"/>
    <s v="Bottom cover"/>
    <n v="130040670023900"/>
    <s v="TK"/>
    <n v="2023"/>
    <s v="DEC"/>
    <x v="0"/>
    <d v="2023-12-18T00:00:00"/>
    <n v="2212.3893805309735"/>
    <n v="1"/>
    <n v="2212.3893805309735"/>
    <s v="Chris Fang"/>
    <s v="Approved"/>
    <s v="No"/>
    <m/>
  </r>
  <r>
    <s v="Box 5000 Full 2.0"/>
    <s v="Bottom cover"/>
    <n v="130040670023442"/>
    <s v="TK"/>
    <n v="2023"/>
    <s v="DEC"/>
    <x v="0"/>
    <d v="2023-12-26T00:00:00"/>
    <n v="6017.6991150442482"/>
    <n v="1"/>
    <n v="6017.6991150442482"/>
    <s v="Chris Fang"/>
    <s v="Approved"/>
    <s v="No"/>
    <m/>
  </r>
  <r>
    <s v="Box 5000 Full 2.0"/>
    <s v="Inner bracket"/>
    <n v="130040670023440"/>
    <s v="TK"/>
    <n v="2023"/>
    <s v="DEC"/>
    <x v="0"/>
    <d v="2023-12-26T00:00:00"/>
    <n v="18584.070796460179"/>
    <n v="1"/>
    <n v="18584.070796460179"/>
    <s v="Chris Fang"/>
    <s v="Approved"/>
    <s v="No"/>
    <m/>
  </r>
  <r>
    <s v="Box 5000 Full 2.0"/>
    <s v="Cartridge tank"/>
    <n v="130040670023444"/>
    <s v="TK"/>
    <n v="2023"/>
    <s v="DEC"/>
    <x v="0"/>
    <d v="2023-12-26T00:00:00"/>
    <n v="1327.4336283185842"/>
    <n v="1"/>
    <n v="1327.4336283185842"/>
    <s v="Chris Fang"/>
    <s v="Approved"/>
    <s v="No"/>
    <m/>
  </r>
  <r>
    <s v="Box 5000 Full 2.0"/>
    <s v="Heating holder"/>
    <n v="130040670023448"/>
    <s v="TK"/>
    <n v="2023"/>
    <s v="DEC"/>
    <x v="0"/>
    <d v="2023-12-26T00:00:00"/>
    <n v="23893.805309734515"/>
    <n v="1"/>
    <n v="23893.805309734515"/>
    <s v="Chris Fang"/>
    <s v="Approved"/>
    <s v="No"/>
    <m/>
  </r>
  <r>
    <s v="Box 5000 Full 2.0"/>
    <s v=" Plastic plug"/>
    <n v="130040670023443"/>
    <s v="TK"/>
    <n v="2023"/>
    <s v="DEC"/>
    <x v="0"/>
    <d v="2023-12-26T00:00:00"/>
    <n v="15601.769911504427"/>
    <n v="1"/>
    <n v="15601.769911504427"/>
    <s v="Chris Fang"/>
    <s v="Approved"/>
    <s v="No"/>
    <m/>
  </r>
  <r>
    <s v="Box 800 Default 2.0"/>
    <s v="Bottom cover"/>
    <n v="130040670018919"/>
    <s v="TK"/>
    <n v="2023"/>
    <s v="DEC"/>
    <x v="0"/>
    <d v="2023-12-26T00:00:00"/>
    <n v="21238.938053097347"/>
    <n v="1"/>
    <n v="21238.938053097347"/>
    <s v="Chris Fang"/>
    <s v="Approved"/>
    <s v="No"/>
    <m/>
  </r>
  <r>
    <s v="Box 800 Default 2.0"/>
    <s v="Cartridge tank"/>
    <n v="130040670018928"/>
    <s v="TK"/>
    <n v="2023"/>
    <s v="DEC"/>
    <x v="0"/>
    <d v="2023-12-28T00:00:00"/>
    <n v="6807.9646017699124"/>
    <n v="1"/>
    <n v="6807.9646017699124"/>
    <s v="Chris Fang"/>
    <s v="Approved"/>
    <s v="No"/>
    <m/>
  </r>
  <r>
    <s v="Box 800 Default 2.0"/>
    <s v="Bottom cover"/>
    <n v="130040670018919"/>
    <s v="TK"/>
    <n v="2023"/>
    <s v="OCT"/>
    <x v="0"/>
    <d v="2023-12-11T00:00:00"/>
    <n v="5575"/>
    <n v="1"/>
    <n v="5575"/>
    <s v="Chris Fang"/>
    <s v="Approved"/>
    <s v="No"/>
    <m/>
  </r>
  <r>
    <s v="Box 800 Full 2.0"/>
    <s v="Inner bracket"/>
    <n v="130040670023899"/>
    <s v="TK"/>
    <n v="2023"/>
    <s v="SEP"/>
    <x v="2"/>
    <d v="2023-09-27T00:00:00"/>
    <n v="108000.00000000001"/>
    <n v="1"/>
    <n v="108000.00000000001"/>
    <s v="Chris Fang"/>
    <s v="Approved"/>
    <s v="No"/>
    <m/>
  </r>
  <r>
    <s v="Box 800 Default 2.0"/>
    <s v="Cartridge tank"/>
    <n v="130040670018928"/>
    <s v="TK"/>
    <n v="2023"/>
    <s v="OCT"/>
    <x v="2"/>
    <d v="2023-10-19T00:00:00"/>
    <n v="134000"/>
    <n v="1"/>
    <n v="134000"/>
    <s v="Kevin"/>
    <s v="Approved"/>
    <s v="No"/>
    <m/>
  </r>
  <r>
    <s v="Box 800 Default 2.0"/>
    <s v="Heater top cover"/>
    <n v="130040670018929"/>
    <s v="TK"/>
    <n v="2023"/>
    <s v="OCT"/>
    <x v="2"/>
    <d v="2023-10-19T00:00:00"/>
    <n v="89000.000000000015"/>
    <n v="1"/>
    <n v="89000.000000000015"/>
    <s v="Kevin"/>
    <s v="Approved"/>
    <s v="No"/>
    <m/>
  </r>
  <r>
    <s v="Box 800 Default 2.0"/>
    <s v="Heating holder"/>
    <n v="130040670018930"/>
    <s v="TK"/>
    <n v="2023"/>
    <s v="OCT"/>
    <x v="2"/>
    <d v="2023-10-19T00:00:00"/>
    <n v="89000.000000000015"/>
    <n v="1"/>
    <n v="89000.000000000015"/>
    <s v="Kevin"/>
    <s v="Approved"/>
    <s v="No"/>
    <m/>
  </r>
  <r>
    <s v="Box 800 Full 2.0"/>
    <s v="Bottom cover"/>
    <n v="130040670023900"/>
    <s v="TK"/>
    <n v="2023"/>
    <s v="SEP"/>
    <x v="2"/>
    <d v="2023-09-27T00:00:00"/>
    <n v="99000.000000000015"/>
    <n v="1"/>
    <n v="99000.000000000015"/>
    <s v="Chris Fang"/>
    <s v="Approved"/>
    <s v="No"/>
    <m/>
  </r>
  <r>
    <s v="Box 800 Full 2.0"/>
    <s v="PCB BRACKET"/>
    <n v="130040670023906"/>
    <s v="TK"/>
    <n v="2023"/>
    <s v="SEP"/>
    <x v="2"/>
    <d v="2023-09-27T00:00:00"/>
    <n v="70000"/>
    <n v="1"/>
    <n v="70000"/>
    <s v="Chris Fang"/>
    <s v="Approved"/>
    <s v="No"/>
    <m/>
  </r>
  <r>
    <s v="Box 800 Full 2.0"/>
    <s v="Battery top cover"/>
    <n v="130040670039455"/>
    <s v="TK"/>
    <n v="2023"/>
    <s v="SEP"/>
    <x v="2"/>
    <d v="2023-09-27T00:00:00"/>
    <n v="65000.000000000007"/>
    <n v="1"/>
    <n v="65000.000000000007"/>
    <s v="Chris Fang"/>
    <s v="Approved"/>
    <s v="No"/>
    <m/>
  </r>
  <r>
    <s v="Box 800 Full 2.0"/>
    <s v="Battery bottom cover"/>
    <n v="130040670039442"/>
    <s v="TK"/>
    <n v="2023"/>
    <s v="SEP"/>
    <x v="2"/>
    <d v="2023-09-27T00:00:00"/>
    <n v="65000.000000000007"/>
    <n v="1"/>
    <n v="65000.000000000007"/>
    <s v="Chris Fang"/>
    <s v="Approved"/>
    <s v="No"/>
    <m/>
  </r>
  <r>
    <s v="Box 5000 Full 2.0"/>
    <s v="Cartridge tank"/>
    <n v="130040670023444"/>
    <s v="TK"/>
    <n v="2023"/>
    <s v="OCT"/>
    <x v="2"/>
    <d v="2023-10-31T00:00:00"/>
    <n v="187000.00000000003"/>
    <n v="1"/>
    <n v="187000.00000000003"/>
    <s v="Kevin"/>
    <s v="Approved"/>
    <s v="No"/>
    <m/>
  </r>
  <r>
    <s v="Box 5000 Full 2.0"/>
    <s v=" Plastic plug"/>
    <n v="130040670023443"/>
    <s v="TK"/>
    <n v="2023"/>
    <s v="OCT"/>
    <x v="2"/>
    <d v="2023-10-31T00:00:00"/>
    <n v="75000"/>
    <n v="1"/>
    <n v="75000"/>
    <s v="Kevin"/>
    <s v="Approved"/>
    <s v="No"/>
    <m/>
  </r>
  <r>
    <s v="Box 5000 Full 2.0"/>
    <s v="Bottom cover"/>
    <n v="130040670023442"/>
    <s v="TK"/>
    <n v="2023"/>
    <s v="OCT"/>
    <x v="2"/>
    <d v="2023-10-31T00:00:00"/>
    <n v="98000.000000000015"/>
    <n v="1"/>
    <n v="98000.000000000015"/>
    <s v="Kevin"/>
    <s v="Approved"/>
    <s v="No"/>
    <m/>
  </r>
  <r>
    <s v="Box 5000 Full 2.0"/>
    <s v="Heater top cover"/>
    <n v="130040670023445"/>
    <s v="TK"/>
    <n v="2023"/>
    <s v="OCT"/>
    <x v="2"/>
    <d v="2023-10-31T00:00:00"/>
    <n v="89000.000000000015"/>
    <n v="1"/>
    <n v="89000.000000000015"/>
    <s v="Kevin"/>
    <s v="Approved"/>
    <s v="No"/>
    <m/>
  </r>
  <r>
    <s v="Box 5000 Full 2.0"/>
    <s v="Heating holder"/>
    <n v="130040670023448"/>
    <s v="TK"/>
    <n v="2023"/>
    <s v="OCT"/>
    <x v="2"/>
    <d v="2023-10-31T00:00:00"/>
    <n v="89000.000000000015"/>
    <n v="1"/>
    <n v="89000.000000000015"/>
    <s v="Kevin"/>
    <s v="Approved"/>
    <s v="No"/>
    <m/>
  </r>
  <r>
    <s v="Box 5000 Full 2.0"/>
    <s v="Inner bracket"/>
    <n v="130040670023440"/>
    <s v="TK"/>
    <n v="2023"/>
    <s v="OCT"/>
    <x v="2"/>
    <d v="2023-10-31T00:00:00"/>
    <n v="103000.00000000001"/>
    <n v="1"/>
    <n v="103000.00000000001"/>
    <s v="Kevin"/>
    <s v="Approved"/>
    <s v="No"/>
    <m/>
  </r>
  <r>
    <s v="Box 5000 Full 2.0"/>
    <s v="PCBA Bracket"/>
    <n v="130040670024534"/>
    <s v="TK"/>
    <n v="2023"/>
    <s v="OCT"/>
    <x v="2"/>
    <d v="2023-10-31T00:00:00"/>
    <n v="70000"/>
    <n v="1"/>
    <n v="70000"/>
    <s v="Kevin"/>
    <s v="Approved"/>
    <s v="No"/>
    <m/>
  </r>
  <r>
    <s v="Box 8000 Full 2.0"/>
    <s v=" Plastic plug"/>
    <n v="130040670043029"/>
    <s v="TK"/>
    <n v="2023"/>
    <s v="DEC"/>
    <x v="2"/>
    <d v="2023-12-29T00:00:00"/>
    <n v="65000.000000000007"/>
    <n v="1"/>
    <n v="65000.000000000007"/>
    <s v="Kevin"/>
    <s v="Approved"/>
    <s v="No"/>
    <m/>
  </r>
  <r>
    <s v="Box 800 Default 2.0"/>
    <s v="Cartridge tank"/>
    <n v="130040670018928"/>
    <s v="TK"/>
    <n v="2023"/>
    <s v="OCT"/>
    <x v="2"/>
    <d v="2023-10-19T00:00:00"/>
    <n v="134000"/>
    <n v="1"/>
    <n v="134000"/>
    <s v="Kevin"/>
    <s v="Approved"/>
    <s v="No"/>
    <m/>
  </r>
  <r>
    <s v="Box 800 Default 2.0"/>
    <s v="Heater top cover"/>
    <n v="130040670018929"/>
    <s v="TK"/>
    <n v="2023"/>
    <s v="OCT"/>
    <x v="2"/>
    <d v="2023-10-19T00:00:00"/>
    <n v="89000.000000000015"/>
    <n v="1"/>
    <n v="89000.000000000015"/>
    <s v="Kevin"/>
    <s v="Approved"/>
    <s v="No"/>
    <m/>
  </r>
  <r>
    <s v="Box 800 Default 2.0"/>
    <s v="Heating holder"/>
    <n v="130040670018930"/>
    <s v="TK"/>
    <n v="2023"/>
    <s v="OCT"/>
    <x v="2"/>
    <d v="2023-10-19T00:00:00"/>
    <n v="89000.000000000015"/>
    <n v="1"/>
    <n v="89000.000000000015"/>
    <s v="Kevin"/>
    <s v="Approved"/>
    <s v="No"/>
    <m/>
  </r>
  <r>
    <s v="Box 800 Default 2.0"/>
    <s v="Slider"/>
    <n v="130040670027765"/>
    <s v="TK"/>
    <n v="2023"/>
    <s v="OCT"/>
    <x v="2"/>
    <d v="2023-10-19T00:00:00"/>
    <n v="71000"/>
    <n v="1"/>
    <n v="71000"/>
    <s v="Kevin"/>
    <s v="Approved"/>
    <s v="No"/>
    <m/>
  </r>
  <r>
    <s v="Box 800 Default 2.0"/>
    <s v="Bottom cover"/>
    <n v="130040670018919"/>
    <s v="TK"/>
    <n v="2023"/>
    <s v="OCT"/>
    <x v="2"/>
    <d v="2023-10-19T00:00:00"/>
    <n v="98000.000000000015"/>
    <n v="1"/>
    <n v="98000.000000000015"/>
    <s v="Kevin"/>
    <s v="Approved"/>
    <s v="No"/>
    <m/>
  </r>
  <r>
    <s v="Box 800 Default 2.0"/>
    <s v="Plastic plug"/>
    <n v="130040670018925"/>
    <s v="TK"/>
    <n v="2023"/>
    <s v="OCT"/>
    <x v="2"/>
    <d v="2023-10-19T00:00:00"/>
    <n v="65000.000000000007"/>
    <n v="1"/>
    <n v="65000.000000000007"/>
    <s v="Kevin"/>
    <s v="Approved"/>
    <s v="No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Box 800 Full 2.0"/>
    <s v="MODI"/>
    <s v="Inner bracket"/>
    <n v="130040670023899"/>
    <s v="TK"/>
    <n v="2024"/>
    <n v="1"/>
    <s v="POC"/>
    <d v="2024-11-12T00:00:00"/>
    <n v="2"/>
    <m/>
    <n v="0"/>
    <n v="50000"/>
    <x v="0"/>
    <d v="2024-01-03T00:00:00"/>
    <n v="16106"/>
    <n v="1"/>
    <n v="16106"/>
    <s v="Chris"/>
    <s v="Approved"/>
    <s v="No"/>
    <m/>
  </r>
  <r>
    <s v="Box 5000 Full 2.0"/>
    <s v="MODI"/>
    <s v="Inner bracket"/>
    <n v="130040670023440"/>
    <s v="TK"/>
    <n v="2024"/>
    <n v="1"/>
    <s v="POC"/>
    <d v="2024-11-12T00:00:00"/>
    <n v="2"/>
    <m/>
    <n v="0"/>
    <n v="50000"/>
    <x v="0"/>
    <d v="2024-01-03T00:00:00"/>
    <n v="16106"/>
    <n v="1"/>
    <n v="16106"/>
    <s v="Chris"/>
    <s v="Approved"/>
    <s v="No"/>
    <m/>
  </r>
  <r>
    <s v="1K BOX SEMI"/>
    <s v="MODI"/>
    <s v="Heating holder-semi"/>
    <n v="130040670023602"/>
    <s v="TK"/>
    <n v="2024"/>
    <n v="1"/>
    <s v="POC"/>
    <d v="2024-11-12T00:00:00"/>
    <n v="2"/>
    <m/>
    <n v="0"/>
    <n v="50000"/>
    <x v="0"/>
    <d v="2024-01-04T00:00:00"/>
    <n v="10619.469026548701"/>
    <n v="1"/>
    <n v="10619.469026548701"/>
    <s v="Chris"/>
    <s v="Approved"/>
    <s v="No"/>
    <m/>
  </r>
  <r>
    <s v="1K BOX SEMI"/>
    <s v="MODI"/>
    <s v="Heater top cover-semi"/>
    <n v="130040670023601"/>
    <s v="TK"/>
    <n v="2024"/>
    <n v="1"/>
    <s v="POC"/>
    <d v="2024-11-12T00:00:00"/>
    <n v="2"/>
    <m/>
    <n v="0"/>
    <n v="50000"/>
    <x v="0"/>
    <d v="2024-01-04T00:00:00"/>
    <n v="10000"/>
    <n v="1"/>
    <n v="10000"/>
    <s v="Chris"/>
    <s v="Approved"/>
    <s v="No"/>
    <m/>
  </r>
  <r>
    <s v="Box 800 Default 2.0"/>
    <s v="MODI"/>
    <s v="Cartridge tank"/>
    <n v="130040670018928"/>
    <s v="TK"/>
    <n v="2024"/>
    <n v="1"/>
    <s v="POA"/>
    <d v="2024-11-12T00:00:00"/>
    <n v="16"/>
    <n v="1067040"/>
    <n v="1067040"/>
    <n v="1000000"/>
    <x v="1"/>
    <d v="2024-01-04T00:00:00"/>
    <n v="8442.4778761062007"/>
    <n v="1"/>
    <n v="8442.4778761062007"/>
    <s v="Chris"/>
    <s v="Approved"/>
    <s v="No"/>
    <m/>
  </r>
  <r>
    <s v="1K BOX SEMI"/>
    <s v="MODI"/>
    <s v="Heating holder-semi"/>
    <n v="130040670023602"/>
    <s v="TK"/>
    <n v="2024"/>
    <n v="1"/>
    <s v="POC"/>
    <d v="2024-11-12T00:00:00"/>
    <n v="2"/>
    <m/>
    <n v="0"/>
    <n v="50000"/>
    <x v="0"/>
    <d v="2024-01-04T00:00:00"/>
    <n v="6194.6902654867299"/>
    <n v="1"/>
    <n v="6194.6902654867299"/>
    <s v="Chris"/>
    <s v="Approved"/>
    <s v="No"/>
    <m/>
  </r>
  <r>
    <s v="Box 5000 Full 2.0"/>
    <s v="MODI"/>
    <s v="Inner bracket"/>
    <n v="130040670023440"/>
    <s v="TK"/>
    <n v="2024"/>
    <n v="1"/>
    <s v="POC"/>
    <d v="2024-11-12T00:00:00"/>
    <n v="2"/>
    <m/>
    <n v="0"/>
    <n v="50000"/>
    <x v="0"/>
    <d v="2024-01-07T00:00:00"/>
    <n v="8053.09734513274"/>
    <n v="1"/>
    <n v="8053.09734513274"/>
    <s v="Chris"/>
    <s v="Approved"/>
    <s v="No"/>
    <m/>
  </r>
  <r>
    <s v="Box 5000 Full 2.0"/>
    <s v="MODI"/>
    <s v="Cartridge tank"/>
    <n v="130040670023444"/>
    <s v="TK"/>
    <n v="2024"/>
    <n v="1"/>
    <s v="POC"/>
    <d v="2024-11-12T00:00:00"/>
    <n v="2"/>
    <m/>
    <n v="0"/>
    <n v="50000"/>
    <x v="0"/>
    <d v="2024-01-09T00:00:00"/>
    <n v="3539.8230088495602"/>
    <n v="1"/>
    <n v="3539.8230088495602"/>
    <s v="Chris"/>
    <s v="Approved"/>
    <s v="No"/>
    <m/>
  </r>
  <r>
    <s v="Box 5000 Full 2.0"/>
    <s v="MODI"/>
    <s v="Heating holder"/>
    <n v="130040670023448"/>
    <s v="TK"/>
    <n v="2024"/>
    <n v="1"/>
    <s v="POC"/>
    <d v="2024-11-12T00:00:00"/>
    <n v="2"/>
    <m/>
    <n v="0"/>
    <n v="50000"/>
    <x v="0"/>
    <d v="2024-01-17T00:00:00"/>
    <n v="5752.2123893805301"/>
    <n v="1"/>
    <n v="5752.2123893805301"/>
    <s v="Chris"/>
    <s v="Approved"/>
    <s v="No"/>
    <m/>
  </r>
  <r>
    <s v="Box 5000 Full 2.0"/>
    <s v="MODI"/>
    <s v="Bottom cover"/>
    <n v="130040670023442"/>
    <s v="TK"/>
    <n v="2024"/>
    <n v="1"/>
    <s v="POC"/>
    <d v="2024-11-12T00:00:00"/>
    <n v="2"/>
    <m/>
    <n v="0"/>
    <n v="50000"/>
    <x v="0"/>
    <d v="2024-01-17T00:00:00"/>
    <n v="2212.3893805309699"/>
    <n v="1"/>
    <n v="2212.3893805309699"/>
    <s v="Chris"/>
    <s v="Approved"/>
    <s v="No"/>
    <m/>
  </r>
  <r>
    <s v="Box 800 Full 2.0"/>
    <s v="MODI"/>
    <s v="Battery top cover"/>
    <n v="130040670039455"/>
    <s v="TK"/>
    <n v="2024"/>
    <n v="1"/>
    <s v="POC"/>
    <d v="2024-11-12T00:00:00"/>
    <n v="2"/>
    <m/>
    <n v="0"/>
    <n v="50000"/>
    <x v="0"/>
    <d v="2024-01-22T00:00:00"/>
    <n v="11061.9469026549"/>
    <n v="1"/>
    <n v="11061.9469026549"/>
    <s v="Chris"/>
    <s v="Approved"/>
    <s v="No"/>
    <m/>
  </r>
  <r>
    <s v="Box 800 Full 2.0"/>
    <s v="MODI"/>
    <s v="Bottom cover"/>
    <n v="130040670023900"/>
    <s v="TK"/>
    <n v="2024"/>
    <n v="1"/>
    <s v="POC"/>
    <d v="2024-11-12T00:00:00"/>
    <n v="2"/>
    <m/>
    <n v="0"/>
    <n v="50000"/>
    <x v="0"/>
    <d v="2024-01-22T00:00:00"/>
    <n v="8672.5663716814197"/>
    <n v="1"/>
    <n v="8672.5663716814197"/>
    <s v="Chris"/>
    <s v="Approved"/>
    <s v="No"/>
    <m/>
  </r>
  <r>
    <s v="Box 800 Full 2.0"/>
    <s v="MODI"/>
    <s v="PCB_BRACKET"/>
    <n v="130040670023906"/>
    <s v="TK"/>
    <n v="2024"/>
    <n v="1"/>
    <s v="POC"/>
    <d v="2024-11-12T00:00:00"/>
    <n v="2"/>
    <m/>
    <n v="0"/>
    <n v="50000"/>
    <x v="0"/>
    <d v="2024-01-22T00:00:00"/>
    <n v="3805"/>
    <n v="1"/>
    <n v="3805"/>
    <s v="Chris"/>
    <s v="Approved"/>
    <s v="No"/>
    <m/>
  </r>
  <r>
    <s v="Box 800 Full 2.0"/>
    <s v="MODI"/>
    <s v="Battery bottom cover"/>
    <n v="130040670039442"/>
    <s v="TK"/>
    <n v="2024"/>
    <n v="1"/>
    <s v="POC"/>
    <d v="2024-11-12T00:00:00"/>
    <n v="2"/>
    <m/>
    <n v="0"/>
    <n v="50000"/>
    <x v="0"/>
    <d v="2024-01-22T00:00:00"/>
    <n v="13717"/>
    <n v="1"/>
    <n v="13717"/>
    <s v="Chris"/>
    <s v="Approved"/>
    <s v="No"/>
    <m/>
  </r>
  <r>
    <s v="Box 800 Full 2.0"/>
    <s v="MODI"/>
    <s v="Inner bracket"/>
    <n v="130040670023899"/>
    <s v="TK"/>
    <n v="2024"/>
    <n v="1"/>
    <s v="POC"/>
    <d v="2024-11-12T00:00:00"/>
    <n v="2"/>
    <m/>
    <n v="0"/>
    <n v="50000"/>
    <x v="0"/>
    <d v="2024-01-22T00:00:00"/>
    <n v="20796"/>
    <n v="1"/>
    <n v="20796"/>
    <s v="Chris"/>
    <s v="Approved"/>
    <s v="No"/>
    <m/>
  </r>
  <r>
    <s v="1K BOX SEMI"/>
    <s v="MODI"/>
    <s v="Heater top cover-semi"/>
    <n v="130040670023601"/>
    <s v="TK"/>
    <n v="2024"/>
    <n v="1"/>
    <s v="POC"/>
    <d v="2024-11-12T00:00:00"/>
    <n v="2"/>
    <m/>
    <n v="0"/>
    <n v="50000"/>
    <x v="0"/>
    <d v="2024-01-24T00:00:00"/>
    <n v="6283.1858407079699"/>
    <n v="1"/>
    <n v="6283.1858407079699"/>
    <s v="Chris"/>
    <s v="Approved"/>
    <s v="No"/>
    <m/>
  </r>
  <r>
    <s v="Box 5000 Full 2.0"/>
    <s v="MODI"/>
    <s v="Inner bracket"/>
    <n v="130040670023440"/>
    <s v="TK"/>
    <n v="2024"/>
    <n v="2"/>
    <s v="POC"/>
    <d v="2024-11-12T00:00:00"/>
    <n v="2"/>
    <m/>
    <n v="0"/>
    <n v="50000"/>
    <x v="0"/>
    <d v="2024-02-19T00:00:00"/>
    <n v="12831.858407079601"/>
    <n v="1"/>
    <n v="12831.858407079601"/>
    <s v="Chris"/>
    <s v="Approved"/>
    <s v="No"/>
    <m/>
  </r>
  <r>
    <s v="Box 800 Full 2.0"/>
    <s v="MODI"/>
    <s v="Battery top cover"/>
    <n v="130040670039455"/>
    <s v="TK"/>
    <n v="2024"/>
    <n v="2"/>
    <s v="POC"/>
    <d v="2024-11-12T00:00:00"/>
    <n v="2"/>
    <m/>
    <n v="0"/>
    <n v="50000"/>
    <x v="0"/>
    <d v="2024-02-19T00:00:00"/>
    <n v="7964.60176991151"/>
    <n v="1"/>
    <n v="7964.60176991151"/>
    <s v="Chris"/>
    <s v="Approved"/>
    <s v="No"/>
    <m/>
  </r>
  <r>
    <s v="Box 800 Full 2.0"/>
    <s v="MODI"/>
    <s v="PCB BRACKET"/>
    <n v="130040670023906"/>
    <s v="TK"/>
    <n v="2024"/>
    <n v="2"/>
    <s v="POC"/>
    <d v="2024-11-12T00:00:00"/>
    <n v="2"/>
    <m/>
    <n v="0"/>
    <n v="50000"/>
    <x v="0"/>
    <d v="2024-02-19T00:00:00"/>
    <n v="2477.8761061946898"/>
    <n v="1"/>
    <n v="2477.8761061946898"/>
    <s v="Chris"/>
    <s v="Approved"/>
    <s v="No"/>
    <m/>
  </r>
  <r>
    <s v="Box 5000 Full 2.0"/>
    <s v="MODI"/>
    <s v="Inner bracket"/>
    <n v="130040670023440"/>
    <s v="TK"/>
    <n v="2024"/>
    <n v="2"/>
    <s v="POA"/>
    <d v="2024-11-12T00:00:00"/>
    <n v="48"/>
    <n v="2029684.8"/>
    <n v="2029684.8"/>
    <n v="1000000"/>
    <x v="1"/>
    <d v="2024-02-19T00:00:00"/>
    <n v="33009"/>
    <n v="1"/>
    <n v="33009"/>
    <s v="Chris"/>
    <s v="Approved"/>
    <s v="No"/>
    <m/>
  </r>
  <r>
    <s v="Box 800 Full 2.0"/>
    <s v="MODI"/>
    <s v="Bottom cover"/>
    <n v="130040670023900"/>
    <s v="TK"/>
    <n v="2024"/>
    <n v="2"/>
    <s v="POC"/>
    <d v="2024-11-12T00:00:00"/>
    <n v="2"/>
    <m/>
    <n v="0"/>
    <n v="50000"/>
    <x v="0"/>
    <d v="2024-02-19T00:00:00"/>
    <n v="3097.34513274336"/>
    <n v="1"/>
    <n v="3097.34513274336"/>
    <s v="Chris"/>
    <s v="Approved"/>
    <s v="No"/>
    <m/>
  </r>
  <r>
    <s v="Box 5000 Full 2.0"/>
    <s v="MODI"/>
    <s v="Inner bracket"/>
    <n v="130040670023440"/>
    <s v="TK"/>
    <n v="2024"/>
    <n v="2"/>
    <s v="POC"/>
    <d v="2024-11-12T00:00:00"/>
    <n v="2"/>
    <m/>
    <n v="0"/>
    <n v="50000"/>
    <x v="0"/>
    <d v="2024-02-27T00:00:00"/>
    <n v="2389.3805309734498"/>
    <n v="1"/>
    <n v="2389.3805309734498"/>
    <s v="Chris"/>
    <s v="Approved"/>
    <s v="No"/>
    <m/>
  </r>
  <r>
    <s v="Box 5000 Full 2.0"/>
    <s v="MODI"/>
    <s v="Inner bracket"/>
    <n v="130040670023440"/>
    <s v="TK"/>
    <n v="2024"/>
    <n v="2"/>
    <s v="POC"/>
    <d v="2024-11-12T00:00:00"/>
    <n v="2"/>
    <m/>
    <n v="0"/>
    <n v="50000"/>
    <x v="0"/>
    <d v="2024-02-27T00:00:00"/>
    <n v="16504"/>
    <n v="1"/>
    <n v="16504"/>
    <s v="Chris"/>
    <s v="Approved"/>
    <s v="No"/>
    <m/>
  </r>
  <r>
    <s v="Box 800 Full 2.0"/>
    <s v="MODI"/>
    <s v="Inner bracket"/>
    <n v="130040670023899"/>
    <s v="TK"/>
    <n v="2024"/>
    <n v="2"/>
    <s v="POC"/>
    <d v="2024-11-12T00:00:00"/>
    <n v="2"/>
    <m/>
    <n v="0"/>
    <n v="50000"/>
    <x v="0"/>
    <d v="2024-02-27T00:00:00"/>
    <n v="2212.3893805309699"/>
    <n v="1"/>
    <n v="2212.3893805309699"/>
    <s v="Chris"/>
    <s v="Approved"/>
    <s v="No"/>
    <m/>
  </r>
  <r>
    <s v="Box 5000 Full 2.0"/>
    <s v="MODI"/>
    <s v="Heater top cover"/>
    <n v="130040670023445"/>
    <s v="TK"/>
    <n v="2024"/>
    <n v="2"/>
    <s v="POC"/>
    <d v="2024-11-12T00:00:00"/>
    <n v="2"/>
    <m/>
    <n v="0"/>
    <n v="50000"/>
    <x v="0"/>
    <d v="2024-02-28T00:00:00"/>
    <n v="31858"/>
    <n v="1"/>
    <n v="31858"/>
    <s v="Chris"/>
    <s v="Approved"/>
    <s v="No"/>
    <m/>
  </r>
  <r>
    <s v="Box 800 Default 2.0"/>
    <s v="MODI"/>
    <s v="Heater top cover"/>
    <n v="130040670018929"/>
    <s v="TK"/>
    <n v="2024"/>
    <n v="3"/>
    <s v="DP"/>
    <d v="2024-11-12T00:00:00"/>
    <n v="48"/>
    <n v="2490280"/>
    <n v="2490280"/>
    <n v="1000000"/>
    <x v="1"/>
    <d v="2024-03-11T00:00:00"/>
    <n v="23363"/>
    <n v="1"/>
    <n v="23363"/>
    <s v="Chris"/>
    <s v="Approved"/>
    <s v="No"/>
    <m/>
  </r>
  <r>
    <s v="Box 800 Full 2.0"/>
    <s v="MODI"/>
    <s v="Battery top cover"/>
    <n v="130040670039455"/>
    <s v="TK"/>
    <n v="2024"/>
    <n v="3"/>
    <s v="DP"/>
    <d v="2024-11-12T00:00:00"/>
    <n v="48"/>
    <m/>
    <n v="0"/>
    <n v="1000000"/>
    <x v="1"/>
    <d v="2024-03-21T00:00:00"/>
    <n v="34159"/>
    <n v="1"/>
    <n v="34159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48"/>
    <m/>
    <n v="0"/>
    <n v="1000000"/>
    <x v="1"/>
    <d v="2024-03-21T00:00:00"/>
    <n v="33363"/>
    <n v="1"/>
    <n v="33363"/>
    <s v="Chris"/>
    <s v="Approved"/>
    <s v="No"/>
    <m/>
  </r>
  <r>
    <s v="Box 800 Default 2.0"/>
    <s v="MODI"/>
    <s v="Bottom cover"/>
    <n v="130040670018919"/>
    <s v="TK"/>
    <n v="2024"/>
    <n v="3"/>
    <s v="DP"/>
    <d v="2024-11-12T00:00:00"/>
    <n v="48"/>
    <n v="1969920"/>
    <n v="1969920"/>
    <n v="1000000"/>
    <x v="1"/>
    <d v="2024-03-25T00:00:00"/>
    <n v="556000"/>
    <n v="1"/>
    <n v="556000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2"/>
    <m/>
    <n v="0"/>
    <n v="50000"/>
    <x v="0"/>
    <d v="2024-03-26T00:00:00"/>
    <n v="11238.938053097299"/>
    <n v="1"/>
    <n v="11238.938053097299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2"/>
    <m/>
    <n v="0"/>
    <n v="50000"/>
    <x v="0"/>
    <d v="2024-03-26T00:00:00"/>
    <n v="12035"/>
    <n v="1"/>
    <n v="12035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48"/>
    <m/>
    <n v="0"/>
    <n v="1000000"/>
    <x v="1"/>
    <d v="2024-03-26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n v="3"/>
    <s v="DP"/>
    <d v="2024-11-12T00:00:00"/>
    <n v="48"/>
    <m/>
    <n v="0"/>
    <n v="1000000"/>
    <x v="1"/>
    <d v="2024-03-26T00:00:00"/>
    <n v="22124"/>
    <n v="1"/>
    <n v="22124"/>
    <s v="Chris"/>
    <s v="Approved"/>
    <s v="No"/>
    <m/>
  </r>
  <r>
    <s v="KUMA MAX"/>
    <s v="RCS DEVICE"/>
    <s v="Hesita 5K Mid Cover-T88"/>
    <s v="/"/>
    <s v="TK"/>
    <n v="2024"/>
    <n v="4"/>
    <s v="POC"/>
    <d v="2024-11-12T00:00:00"/>
    <n v="2"/>
    <m/>
    <n v="0"/>
    <n v="50000"/>
    <x v="2"/>
    <d v="2024-04-01T00:00:00"/>
    <n v="60176.991150442504"/>
    <n v="1"/>
    <n v="60176.991150442504"/>
    <s v="Chris"/>
    <s v="Approved"/>
    <s v="No"/>
    <m/>
  </r>
  <r>
    <s v="KUMA MAX"/>
    <s v="RCS DEVICE"/>
    <s v="Hesita 5K Holder-Double_Cell"/>
    <s v="/"/>
    <s v="TK"/>
    <n v="2024"/>
    <n v="4"/>
    <s v="POC"/>
    <d v="2024-11-12T00:00:00"/>
    <n v="2"/>
    <m/>
    <n v="0"/>
    <n v="50000"/>
    <x v="2"/>
    <d v="2024-04-01T00:00:00"/>
    <n v="56637.168141592898"/>
    <n v="1"/>
    <n v="56637.168141592898"/>
    <s v="Chris"/>
    <s v="Approved"/>
    <s v="No"/>
    <m/>
  </r>
  <r>
    <s v="KUMA MAX"/>
    <s v="RCS DEVICE"/>
    <s v="Hesita 5K Top_Cover-T88"/>
    <s v="/"/>
    <s v="TK"/>
    <n v="2024"/>
    <n v="4"/>
    <s v="POC"/>
    <d v="2024-11-12T00:00:00"/>
    <n v="2"/>
    <m/>
    <n v="0"/>
    <n v="50000"/>
    <x v="2"/>
    <d v="2024-04-01T00:00:00"/>
    <n v="53097.345132743401"/>
    <n v="1"/>
    <n v="53097.345132743401"/>
    <s v="Chris"/>
    <s v="Approved"/>
    <s v="No"/>
    <m/>
  </r>
  <r>
    <s v="Hestia 1.0"/>
    <s v="RCS POD"/>
    <s v="Heater top cover"/>
    <n v="130040670020899"/>
    <s v="TK"/>
    <n v="2024"/>
    <n v="4"/>
    <s v="DP"/>
    <d v="2024-11-12T00:00:00"/>
    <n v="48"/>
    <n v="2965248"/>
    <n v="2965248"/>
    <n v="1000000"/>
    <x v="1"/>
    <d v="2024-04-01T00:00:00"/>
    <n v="66371.681415929197"/>
    <n v="1"/>
    <n v="66371.681415929197"/>
    <s v="Chris"/>
    <s v="Approved"/>
    <s v="No"/>
    <m/>
  </r>
  <r>
    <s v="Pen 800 Full 2.0"/>
    <s v="MODI"/>
    <s v="Battery module top cover"/>
    <n v="130040670017658"/>
    <s v="TK"/>
    <n v="2024"/>
    <n v="4"/>
    <s v="DP"/>
    <d v="2024-11-12T00:00:00"/>
    <n v="48"/>
    <n v="2709491.2"/>
    <n v="2709491.2"/>
    <n v="1000000"/>
    <x v="1"/>
    <d v="2024-04-03T00:00:00"/>
    <n v="6460.1769911504398"/>
    <n v="1"/>
    <n v="6460.1769911504398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10T00:00:00"/>
    <n v="5752.2123893805301"/>
    <n v="1"/>
    <n v="5752.2123893805301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10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n v="4"/>
    <s v="DP"/>
    <d v="2024-11-12T00:00:00"/>
    <n v="2"/>
    <m/>
    <n v="0"/>
    <n v="50000"/>
    <x v="0"/>
    <d v="2024-04-10T00:00:00"/>
    <n v="5309.7345132743403"/>
    <n v="1"/>
    <n v="5309.7345132743403"/>
    <s v="Chris"/>
    <s v="Approved"/>
    <s v="No"/>
    <m/>
  </r>
  <r>
    <s v="Box 800 Full 2.0"/>
    <s v="MODI"/>
    <s v="PCB_BRACKET"/>
    <n v="130040670023906"/>
    <s v="TK"/>
    <n v="2024"/>
    <n v="4"/>
    <s v="DP"/>
    <d v="2024-11-12T00:00:00"/>
    <n v="48"/>
    <m/>
    <n v="0"/>
    <n v="1000000"/>
    <x v="1"/>
    <d v="2024-04-11T00:00:00"/>
    <n v="5752.2123893805301"/>
    <n v="1"/>
    <n v="5752.2123893805301"/>
    <s v="Chris"/>
    <s v="Approved"/>
    <s v="No"/>
    <m/>
  </r>
  <r>
    <s v="Box 5000 Full 2.0"/>
    <s v="MODI"/>
    <s v="Inner bracket"/>
    <n v="130040670023440"/>
    <s v="TK"/>
    <n v="2024"/>
    <n v="4"/>
    <s v="DP"/>
    <d v="2024-11-12T00:00:00"/>
    <n v="48"/>
    <n v="2029684.8"/>
    <n v="2029684.8"/>
    <n v="1000000"/>
    <x v="1"/>
    <d v="2024-04-11T00:00:00"/>
    <n v="15929.203539823"/>
    <n v="1"/>
    <n v="15929.203539823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12T00:00:00"/>
    <n v="13539.8230088496"/>
    <n v="1"/>
    <n v="13539.8230088496"/>
    <s v="Chris"/>
    <s v="Approved"/>
    <s v="No"/>
    <m/>
  </r>
  <r>
    <s v="Box 800 Full 2.0"/>
    <s v="MODI"/>
    <s v="Battery top cover"/>
    <n v="130040670039455"/>
    <s v="TK"/>
    <n v="2024"/>
    <n v="4"/>
    <s v="DP"/>
    <d v="2024-11-12T00:00:00"/>
    <n v="48"/>
    <m/>
    <n v="0"/>
    <n v="1000000"/>
    <x v="1"/>
    <d v="2024-04-12T00:00:00"/>
    <n v="22124"/>
    <n v="1"/>
    <n v="22124"/>
    <s v="Chris"/>
    <s v="Approved"/>
    <s v="No"/>
    <m/>
  </r>
  <r>
    <s v="Box 800 Full 2.0"/>
    <s v="MODI"/>
    <s v="Battery bottom cover"/>
    <n v="130040670039442"/>
    <s v="TK"/>
    <n v="2024"/>
    <n v="4"/>
    <s v="DP"/>
    <d v="2024-11-12T00:00:00"/>
    <n v="48"/>
    <m/>
    <n v="0"/>
    <n v="1000000"/>
    <x v="1"/>
    <d v="2024-04-12T00:00:00"/>
    <n v="22124"/>
    <n v="1"/>
    <n v="22124"/>
    <s v="Chris"/>
    <s v="Approved"/>
    <s v="No"/>
    <m/>
  </r>
  <r>
    <s v="Pen 800 Full 2.0"/>
    <s v="MODI"/>
    <s v="Battery module top cover"/>
    <n v="130040670017658"/>
    <s v="TK"/>
    <n v="2024"/>
    <n v="4"/>
    <s v="DP"/>
    <d v="2024-11-12T00:00:00"/>
    <n v="48"/>
    <n v="2709491.2"/>
    <n v="2709491.2"/>
    <n v="1000000"/>
    <x v="1"/>
    <d v="2024-04-13T00:00:00"/>
    <n v="6460.1769911504398"/>
    <n v="1"/>
    <n v="6460.1769911504398"/>
    <s v="Chris"/>
    <s v="Approved"/>
    <s v="No"/>
    <m/>
  </r>
  <r>
    <s v="Box 5000 Full 2.0"/>
    <s v="MODI"/>
    <s v="PCBA Bracket"/>
    <n v="130040670024534"/>
    <s v="TK"/>
    <n v="2024"/>
    <n v="4"/>
    <s v="DP"/>
    <d v="2024-11-12T00:00:00"/>
    <n v="48"/>
    <n v="2935296"/>
    <n v="2935296"/>
    <n v="1000000"/>
    <x v="1"/>
    <d v="2024-04-13T00:00:00"/>
    <n v="5752.2123893805301"/>
    <n v="1"/>
    <n v="5752.2123893805301"/>
    <s v="Chris"/>
    <s v="Approved"/>
    <s v="No"/>
    <m/>
  </r>
  <r>
    <s v="Hestia 1.0"/>
    <s v="RCS POD"/>
    <s v="Cartridge tank"/>
    <n v="130040670029868"/>
    <s v="TK"/>
    <n v="2024"/>
    <n v="4"/>
    <s v="DP"/>
    <d v="2024-11-12T00:00:00"/>
    <n v="32"/>
    <n v="1797120"/>
    <n v="1797120"/>
    <n v="1000000"/>
    <x v="1"/>
    <d v="2024-04-16T00:00:00"/>
    <n v="23451"/>
    <n v="1"/>
    <n v="23451"/>
    <s v="Chris"/>
    <s v="Approved"/>
    <s v="No"/>
    <m/>
  </r>
  <r>
    <s v="Pen 800 Full 2.0"/>
    <s v="MODI"/>
    <s v="Heater top cover"/>
    <n v="130040670021246"/>
    <s v="TK"/>
    <n v="2024"/>
    <n v="4"/>
    <s v="DP"/>
    <d v="2024-11-12T00:00:00"/>
    <n v="48"/>
    <n v="2737152"/>
    <n v="2737152"/>
    <n v="1000000"/>
    <x v="1"/>
    <d v="2024-04-16T00:00:00"/>
    <n v="11272.5663716814"/>
    <n v="1"/>
    <n v="11272.5663716814"/>
    <s v="Chris"/>
    <s v="Approved"/>
    <s v="No"/>
    <m/>
  </r>
  <r>
    <s v="Box 800 Full 2.0"/>
    <s v="MODI"/>
    <s v="Inner bracket"/>
    <n v="130040670023899"/>
    <s v="TK"/>
    <n v="2024"/>
    <n v="4"/>
    <s v="DP"/>
    <d v="2024-11-12T00:00:00"/>
    <n v="2"/>
    <m/>
    <n v="0"/>
    <n v="50000"/>
    <x v="0"/>
    <d v="2024-04-16T00:00:00"/>
    <n v="3362.8318584070798"/>
    <n v="1"/>
    <n v="3362.8318584070798"/>
    <s v="Chris"/>
    <s v="Approved"/>
    <s v="No"/>
    <m/>
  </r>
  <r>
    <s v="Box 8000 Full 2.0"/>
    <s v="MODI"/>
    <s v="Plastic plug"/>
    <n v="130040670043029"/>
    <s v="TK"/>
    <n v="2024"/>
    <n v="4"/>
    <s v="DP"/>
    <d v="2024-11-12T00:00:00"/>
    <n v="2"/>
    <m/>
    <n v="0"/>
    <n v="50000"/>
    <x v="0"/>
    <d v="2024-04-19T00:00:00"/>
    <n v="2212.3893805309699"/>
    <n v="1"/>
    <n v="2212.3893805309699"/>
    <s v="Chris"/>
    <s v="Approved"/>
    <s v="No"/>
    <m/>
  </r>
  <r>
    <s v="Box 800 Full 2.0"/>
    <s v="MODI"/>
    <s v="Battery bottom cover"/>
    <n v="130040670039442"/>
    <s v="TK"/>
    <n v="2024"/>
    <n v="4"/>
    <s v="DP"/>
    <d v="2024-11-12T00:00:00"/>
    <n v="48"/>
    <m/>
    <n v="0"/>
    <n v="1000000"/>
    <x v="1"/>
    <d v="2024-04-19T00:00:00"/>
    <n v="22123.893805309701"/>
    <n v="1"/>
    <n v="22123.893805309701"/>
    <s v="Chris"/>
    <s v="Approved"/>
    <s v="No"/>
    <m/>
  </r>
  <r>
    <s v="Box 800 Full 2.0"/>
    <s v="MODI"/>
    <s v="Battery top cover"/>
    <n v="130040670039455"/>
    <s v="TK"/>
    <n v="2024"/>
    <n v="4"/>
    <s v="DP"/>
    <d v="2024-11-12T00:00:00"/>
    <n v="48"/>
    <m/>
    <n v="0"/>
    <n v="1000000"/>
    <x v="1"/>
    <d v="2024-04-19T00:00:00"/>
    <n v="22123.893805309701"/>
    <n v="1"/>
    <n v="22123.893805309701"/>
    <s v="Chris"/>
    <s v="Approved"/>
    <s v="No"/>
    <m/>
  </r>
  <r>
    <s v="HESTIA 1.1 (non s3t)"/>
    <e v="#N/A"/>
    <s v="Heater cover"/>
    <n v="130010670061767"/>
    <s v="TK"/>
    <n v="2024"/>
    <n v="4"/>
    <s v="POC"/>
    <d v="2024-11-12T00:00:00"/>
    <n v="2"/>
    <m/>
    <n v="0"/>
    <n v="50000"/>
    <x v="2"/>
    <d v="2024-04-24T00:00:00"/>
    <n v="132809.73451327399"/>
    <n v="1"/>
    <n v="132809.73451327399"/>
    <s v="Chris"/>
    <s v="Approved"/>
    <s v="No"/>
    <m/>
  </r>
  <r>
    <s v="HESTIA 1.1 (non s3t)"/>
    <e v="#N/A"/>
    <s v="Heater holder"/>
    <n v="130010670062041"/>
    <s v="TK"/>
    <n v="2024"/>
    <n v="4"/>
    <s v="POC"/>
    <d v="2024-11-12T00:00:00"/>
    <n v="2"/>
    <m/>
    <n v="0"/>
    <n v="50000"/>
    <x v="2"/>
    <d v="2024-04-24T00:00:00"/>
    <n v="132809.73451327399"/>
    <n v="1"/>
    <n v="132809.73451327399"/>
    <s v="Chris"/>
    <s v="Approved"/>
    <s v="No"/>
    <m/>
  </r>
  <r>
    <s v="HESTIA 1.1 (non s3t)"/>
    <e v="#N/A"/>
    <s v="Thimble holder"/>
    <n v="130010670061770"/>
    <s v="TK"/>
    <n v="2024"/>
    <n v="4"/>
    <s v="POC"/>
    <d v="2024-11-12T00:00:00"/>
    <n v="2"/>
    <m/>
    <n v="0"/>
    <n v="50000"/>
    <x v="2"/>
    <d v="2024-04-24T00:00:00"/>
    <n v="93100.000000000015"/>
    <n v="1"/>
    <n v="93100.000000000015"/>
    <s v="Chris"/>
    <s v="Approved"/>
    <s v="No"/>
    <m/>
  </r>
  <r>
    <s v="Box 5000 Full 2.0"/>
    <s v="MODI"/>
    <s v="Button"/>
    <n v="130040670017669"/>
    <s v="TK"/>
    <n v="2024"/>
    <n v="4"/>
    <s v="DP"/>
    <d v="2024-11-12T00:00:00"/>
    <n v="48"/>
    <m/>
    <n v="0"/>
    <n v="1000000"/>
    <x v="1"/>
    <d v="2024-04-29T00:00:00"/>
    <n v="25663.716814159299"/>
    <n v="1"/>
    <n v="25663.716814159299"/>
    <s v="Chris"/>
    <s v="Approved"/>
    <s v="No"/>
    <m/>
  </r>
  <r>
    <s v="Box 5000 Full 2.0"/>
    <s v="MODI"/>
    <s v="Button"/>
    <n v="130040670017669"/>
    <s v="TK"/>
    <n v="2024"/>
    <n v="5"/>
    <s v="DP"/>
    <d v="2024-11-12T00:00:00"/>
    <n v="48"/>
    <m/>
    <n v="0"/>
    <n v="1000000"/>
    <x v="1"/>
    <d v="2024-05-09T00:00:00"/>
    <n v="10176.9911504425"/>
    <n v="1"/>
    <n v="10176.9911504425"/>
    <s v="Chris"/>
    <s v="Approved"/>
    <s v="No"/>
    <m/>
  </r>
  <r>
    <s v="Hestia 1.0"/>
    <s v="RCS POD"/>
    <s v="Heater top cover"/>
    <n v="130040670020899"/>
    <s v="TK"/>
    <n v="2024"/>
    <n v="5"/>
    <s v="DP"/>
    <d v="2024-11-12T00:00:00"/>
    <n v="48"/>
    <n v="2965248"/>
    <n v="2965248"/>
    <n v="1000000"/>
    <x v="1"/>
    <d v="2024-05-16T00:00:00"/>
    <n v="86283.185840708"/>
    <n v="1"/>
    <n v="86283.185840708"/>
    <s v="Chris"/>
    <s v="Approved"/>
    <s v="No"/>
    <m/>
  </r>
  <r>
    <s v="HESTIA 1.1 (non s3t)"/>
    <e v="#N/A"/>
    <s v="Heater holder"/>
    <n v="130010670062041"/>
    <s v="TK"/>
    <n v="2024"/>
    <n v="5"/>
    <s v="POC"/>
    <d v="2024-11-12T00:00:00"/>
    <n v="2"/>
    <m/>
    <n v="0"/>
    <n v="50000"/>
    <x v="0"/>
    <d v="2024-05-16T00:00:00"/>
    <n v="6902.6548672566396"/>
    <n v="1"/>
    <n v="6902.6548672566396"/>
    <s v="Chris"/>
    <s v="Approved"/>
    <s v="No"/>
    <m/>
  </r>
  <r>
    <s v="Box 5000 Full 2.0"/>
    <s v="MODI"/>
    <s v="Button"/>
    <n v="130040670017669"/>
    <s v="TK"/>
    <n v="2024"/>
    <n v="5"/>
    <s v="DP"/>
    <d v="2024-11-12T00:00:00"/>
    <n v="48"/>
    <m/>
    <n v="0"/>
    <n v="1000000"/>
    <x v="1"/>
    <d v="2024-05-29T00:00:00"/>
    <n v="13539.8230088496"/>
    <n v="1"/>
    <n v="13539.8230088496"/>
    <s v="Chris"/>
    <s v="Approved"/>
    <s v="No"/>
    <m/>
  </r>
  <r>
    <s v="HESTIA 1.1 (non s3t)"/>
    <e v="#N/A"/>
    <s v="Heater cover"/>
    <n v="130010670061767"/>
    <s v="TK"/>
    <n v="2024"/>
    <n v="6"/>
    <s v="POC"/>
    <d v="2024-11-12T00:00:00"/>
    <n v="2"/>
    <m/>
    <n v="0"/>
    <n v="50000"/>
    <x v="0"/>
    <d v="2024-06-06T00:00:00"/>
    <n v="23362.831858407098"/>
    <n v="1"/>
    <n v="23362.831858407098"/>
    <s v="Chris"/>
    <s v="Approved"/>
    <s v="No"/>
    <m/>
  </r>
  <r>
    <s v="HESTIA 1.1 (non s3t)"/>
    <e v="#N/A"/>
    <s v="Heater holder"/>
    <n v="130010670062041"/>
    <s v="TK"/>
    <n v="2024"/>
    <n v="6"/>
    <s v="POC"/>
    <d v="2024-11-12T00:00:00"/>
    <n v="2"/>
    <m/>
    <n v="0"/>
    <n v="50000"/>
    <x v="0"/>
    <d v="2024-06-21T00:00:00"/>
    <n v="38318.584070796504"/>
    <n v="1"/>
    <n v="38318.584070796504"/>
    <s v="Chris"/>
    <s v="Approved"/>
    <s v="No"/>
    <m/>
  </r>
  <r>
    <s v="HESTIA 1.1 (non s3t)"/>
    <e v="#N/A"/>
    <s v="Heater cover"/>
    <n v="130010670061767"/>
    <s v="TK"/>
    <n v="2024"/>
    <n v="6"/>
    <s v="POC"/>
    <d v="2024-11-12T00:00:00"/>
    <n v="2"/>
    <m/>
    <n v="0"/>
    <n v="50000"/>
    <x v="0"/>
    <d v="2024-06-21T00:00:00"/>
    <n v="5221.2389380531004"/>
    <n v="1"/>
    <n v="5221.2389380531004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08T00:00:00"/>
    <n v="3495.5752212389384"/>
    <n v="1"/>
    <n v="3495.5752212389384"/>
    <s v="Chris"/>
    <s v="Approved"/>
    <s v="No"/>
    <m/>
  </r>
  <r>
    <s v="Box 5000 Full 2.0"/>
    <s v="MODI"/>
    <s v="Heating holder"/>
    <n v="130040670023448"/>
    <s v="TK"/>
    <n v="2024"/>
    <n v="5"/>
    <s v="DP"/>
    <d v="2024-11-12T00:00:00"/>
    <n v="2"/>
    <m/>
    <n v="0"/>
    <n v="50000"/>
    <x v="0"/>
    <d v="2024-05-29T00:00:00"/>
    <n v="10176.991150442478"/>
    <n v="1"/>
    <n v="10176.991150442478"/>
    <s v="Chris"/>
    <s v="Approved"/>
    <s v="No"/>
    <m/>
  </r>
  <r>
    <s v="Box 5000 Full 2.0"/>
    <s v="MODI"/>
    <s v="Heater top cover"/>
    <n v="130040670023445"/>
    <s v="TK"/>
    <n v="2024"/>
    <n v="7"/>
    <s v="DP"/>
    <d v="2024-11-12T00:00:00"/>
    <n v="2"/>
    <m/>
    <n v="0"/>
    <n v="50000"/>
    <x v="0"/>
    <d v="2024-07-29T00:00:00"/>
    <n v="3645.1327433628321"/>
    <n v="1"/>
    <n v="3645.1327433628321"/>
    <s v="Chris"/>
    <s v="Approved"/>
    <s v="No"/>
    <m/>
  </r>
  <r>
    <s v="MIMOSA 1.0"/>
    <s v="RCS DEVICE"/>
    <s v="MImosa-电池管前壳"/>
    <s v="/"/>
    <s v="TK"/>
    <n v="2024"/>
    <n v="1"/>
    <s v="POC"/>
    <d v="2024-11-12T00:00:00"/>
    <n v="2"/>
    <m/>
    <n v="0"/>
    <n v="50000"/>
    <x v="0"/>
    <d v="2024-01-29T00:00:00"/>
    <n v="10619.469026548673"/>
    <n v="1"/>
    <n v="10619.469026548673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16T00:00:00"/>
    <n v="30530.973451327438"/>
    <n v="1"/>
    <n v="30530.973451327438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16T00:00:00"/>
    <n v="31929.203539823011"/>
    <n v="1"/>
    <n v="31929.203539823011"/>
    <s v="Chris"/>
    <s v="Approved"/>
    <s v="No"/>
    <m/>
  </r>
  <r>
    <s v="HESTIA 1.1 (non s3t)"/>
    <e v="#N/A"/>
    <s v="Heater cover"/>
    <n v="130010670061767"/>
    <s v="TK"/>
    <n v="2024"/>
    <n v="7"/>
    <s v="POC"/>
    <d v="2024-11-12T00:00:00"/>
    <n v="2"/>
    <m/>
    <n v="0"/>
    <n v="50000"/>
    <x v="0"/>
    <d v="2024-07-16T00:00:00"/>
    <n v="17946.902654867259"/>
    <n v="1"/>
    <n v="17946.902654867259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16T00:00:00"/>
    <n v="6150.4424778761068"/>
    <n v="1"/>
    <n v="6150.4424778761068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22T00:00:00"/>
    <n v="2256.6371681415931"/>
    <n v="1"/>
    <n v="2256.6371681415931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24T00:00:00"/>
    <n v="12389.380530973453"/>
    <n v="1"/>
    <n v="12389.380530973453"/>
    <s v="Chris"/>
    <s v="Approved"/>
    <s v="No"/>
    <m/>
  </r>
  <r>
    <s v="HESTIA 1.1 (non s3t)"/>
    <e v="#N/A"/>
    <s v="Heater holder"/>
    <n v="130010670062041"/>
    <s v="TK"/>
    <n v="2024"/>
    <n v="7"/>
    <s v="POC"/>
    <d v="2024-11-12T00:00:00"/>
    <n v="2"/>
    <m/>
    <n v="0"/>
    <n v="50000"/>
    <x v="0"/>
    <d v="2024-07-31T00:00:00"/>
    <n v="3515.0442477876109"/>
    <n v="1"/>
    <n v="3515.0442477876109"/>
    <s v="Chris"/>
    <s v="Approved"/>
    <s v="No"/>
    <m/>
  </r>
  <r>
    <s v="HESTIA XL US (S3t) 2ml / 2.4ml"/>
    <e v="#N/A"/>
    <s v="Thimble holder"/>
    <n v="130010670061770"/>
    <s v="TK"/>
    <n v="2024"/>
    <n v="8"/>
    <s v="POC"/>
    <d v="2024-11-12T00:00:00"/>
    <n v="2"/>
    <m/>
    <n v="0"/>
    <n v="50000"/>
    <x v="2"/>
    <d v="2024-08-05T00:00:00"/>
    <n v="98500"/>
    <n v="1"/>
    <n v="98500"/>
    <s v="Chris"/>
    <s v="Approved"/>
    <s v="No"/>
    <m/>
  </r>
  <r>
    <s v="HESTIA XL US (S3t) 2ml / 2.4ml"/>
    <e v="#N/A"/>
    <s v="Heater cover"/>
    <n v="130010670061767"/>
    <s v="TK"/>
    <n v="2024"/>
    <n v="8"/>
    <s v="POC"/>
    <d v="2024-11-12T00:00:00"/>
    <n v="2"/>
    <m/>
    <n v="0"/>
    <n v="50000"/>
    <x v="2"/>
    <d v="2024-08-05T00:00:00"/>
    <n v="155000"/>
    <n v="1"/>
    <n v="155000"/>
    <s v="Chris"/>
    <s v="Approved"/>
    <s v="No"/>
    <m/>
  </r>
  <r>
    <s v="HESTIA XL US (S3t) 2ml / 2.4ml"/>
    <e v="#N/A"/>
    <s v="Heater holder"/>
    <n v="130010670061769"/>
    <s v="TK"/>
    <n v="2024"/>
    <n v="8"/>
    <s v="POC"/>
    <d v="2024-11-12T00:00:00"/>
    <n v="2"/>
    <m/>
    <n v="0"/>
    <n v="50000"/>
    <x v="2"/>
    <d v="2024-08-05T00:00:00"/>
    <n v="155000"/>
    <n v="1"/>
    <n v="155000"/>
    <s v="Chris"/>
    <s v="Approved"/>
    <s v="No"/>
    <m/>
  </r>
  <r>
    <s v="HESTIA XL US (S3t) 2ml / 2.4ml"/>
    <e v="#N/A"/>
    <s v="Cartridge tank-2.0ml"/>
    <n v="130010670075240"/>
    <s v="TK"/>
    <n v="2024"/>
    <n v="8"/>
    <s v="POC"/>
    <d v="2024-11-12T00:00:00"/>
    <n v="2"/>
    <m/>
    <n v="0"/>
    <n v="50000"/>
    <x v="2"/>
    <d v="2024-08-05T00:00:00"/>
    <n v="215000"/>
    <n v="1"/>
    <n v="215000"/>
    <s v="Chris"/>
    <s v="Approved"/>
    <s v="No"/>
    <m/>
  </r>
  <r>
    <s v="HESTIA XL US (S3t) 2ml / 2.4ml"/>
    <e v="#N/A"/>
    <s v="HESTIA-US 2.4ml-Cartridge tank"/>
    <n v="130010670082235"/>
    <s v="TK"/>
    <n v="2024"/>
    <n v="8"/>
    <s v="POC"/>
    <d v="2024-11-12T00:00:00"/>
    <n v="2"/>
    <m/>
    <n v="0"/>
    <n v="50000"/>
    <x v="2"/>
    <d v="2024-08-05T00:00:00"/>
    <n v="215000"/>
    <n v="1"/>
    <n v="215000"/>
    <s v="Chris"/>
    <s v="Approved"/>
    <s v="No"/>
    <m/>
  </r>
  <r>
    <s v="HESTIA XL US (S3t) 2ml / 2.4ml"/>
    <e v="#N/A"/>
    <s v="HESTIA-US 2.4ml-Cartridge tank"/>
    <n v="130010670082235"/>
    <s v="TK"/>
    <n v="2024"/>
    <n v="8"/>
    <s v="POC"/>
    <d v="2024-11-12T00:00:00"/>
    <n v="2"/>
    <m/>
    <n v="0"/>
    <n v="50000"/>
    <x v="2"/>
    <d v="2024-08-05T00:00:00"/>
    <n v="215000"/>
    <n v="1"/>
    <n v="215000"/>
    <s v="Chris"/>
    <s v="Approved"/>
    <s v="No"/>
    <m/>
  </r>
  <r>
    <s v="HESTIA 1.1 (non s3t)"/>
    <e v="#N/A"/>
    <s v="Heater holder"/>
    <n v="130010670062041"/>
    <s v="TK"/>
    <n v="2024"/>
    <n v="8"/>
    <s v="POC"/>
    <d v="2024-11-12T00:00:00"/>
    <n v="2"/>
    <m/>
    <n v="0"/>
    <n v="50000"/>
    <x v="0"/>
    <d v="2024-08-23T00:00:00"/>
    <n v="23929"/>
    <n v="1"/>
    <n v="23929"/>
    <s v="Chris"/>
    <s v="Approved"/>
    <s v="No"/>
    <m/>
  </r>
  <r>
    <s v="HESTIA 1.1 (non s3t)"/>
    <e v="#N/A"/>
    <s v="Heater cover"/>
    <n v="130010670061767"/>
    <s v="TK"/>
    <n v="2024"/>
    <n v="8"/>
    <s v="POC"/>
    <d v="2024-11-12T00:00:00"/>
    <n v="2"/>
    <m/>
    <n v="0"/>
    <n v="50000"/>
    <x v="0"/>
    <d v="2024-08-23T00:00:00"/>
    <n v="7080"/>
    <n v="1"/>
    <n v="7080"/>
    <s v="Chris"/>
    <s v="Approved"/>
    <s v="No"/>
    <m/>
  </r>
  <r>
    <s v="HESTIA 1.1 (s3t)"/>
    <e v="#N/A"/>
    <s v="Thimble holder"/>
    <n v="130010670061770"/>
    <s v="TK"/>
    <n v="2024"/>
    <n v="8"/>
    <s v="DP"/>
    <d v="2024-11-12T00:00:00"/>
    <n v="2"/>
    <m/>
    <n v="0"/>
    <n v="50000"/>
    <x v="0"/>
    <d v="2024-08-23T00:00:00"/>
    <n v="3363"/>
    <n v="1"/>
    <n v="3363"/>
    <s v="Chris"/>
    <s v="Approved"/>
    <s v="No"/>
    <m/>
  </r>
  <r>
    <s v="Box 5000 Full 2.0"/>
    <s v="MODI"/>
    <s v="Inner bracket"/>
    <n v="130040670023440"/>
    <s v="TK"/>
    <n v="2024"/>
    <n v="9"/>
    <s v="DP"/>
    <d v="2024-11-12T00:00:00"/>
    <n v="2"/>
    <m/>
    <n v="0"/>
    <n v="50000"/>
    <x v="0"/>
    <d v="2024-09-26T00:00:00"/>
    <n v="6866.3716814159297"/>
    <n v="1"/>
    <n v="6866.3716814159297"/>
    <s v="Chris"/>
    <s v="Approved"/>
    <s v="No"/>
    <m/>
  </r>
  <r>
    <s v="Clyde RCS DEVICE"/>
    <s v="HP"/>
    <s v="Toggle switch"/>
    <n v="230000460202005"/>
    <s v="TK"/>
    <n v="2024"/>
    <n v="1"/>
    <s v="POC"/>
    <d v="2024-11-12T00:00:00"/>
    <n v="2"/>
    <m/>
    <n v="0"/>
    <n v="50000"/>
    <x v="2"/>
    <d v="2024-01-31T00:00:00"/>
    <n v="122500"/>
    <n v="1"/>
    <n v="122500"/>
    <s v="Chris"/>
    <s v="Approved"/>
    <s v="No"/>
    <m/>
  </r>
  <r>
    <s v="Clyde RCS DEVICE"/>
    <s v="HP"/>
    <s v="Top cover"/>
    <s v="/"/>
    <s v="TK"/>
    <n v="2024"/>
    <n v="1"/>
    <s v="POC"/>
    <d v="2024-11-12T00:00:00"/>
    <n v="2"/>
    <m/>
    <n v="0"/>
    <n v="50000"/>
    <x v="2"/>
    <d v="2024-01-31T00:00:00"/>
    <n v="100500"/>
    <n v="1"/>
    <n v="100500"/>
    <s v="Chris"/>
    <s v="Approved"/>
    <s v="No"/>
    <m/>
  </r>
  <r>
    <s v="Clyde RCS DEVICE"/>
    <s v="HP"/>
    <s v="MlC holder"/>
    <s v="23000046-02-0202004"/>
    <s v="TK"/>
    <n v="2024"/>
    <n v="1"/>
    <s v="POC"/>
    <d v="2024-11-12T00:00:00"/>
    <n v="2"/>
    <m/>
    <n v="0"/>
    <n v="50000"/>
    <x v="2"/>
    <d v="2024-01-31T00:00:00"/>
    <n v="123500"/>
    <n v="1"/>
    <n v="123500"/>
    <s v="Chris"/>
    <s v="Approved"/>
    <s v="No"/>
    <m/>
  </r>
  <r>
    <s v="Clyde RCS DEVICE"/>
    <s v="HP"/>
    <s v="Toggle switch"/>
    <n v="230000460202005"/>
    <s v="TK"/>
    <n v="2024"/>
    <n v="1"/>
    <s v="POC"/>
    <d v="2024-11-12T00:00:00"/>
    <n v="2"/>
    <m/>
    <n v="0"/>
    <n v="50000"/>
    <x v="2"/>
    <d v="2024-01-31T00:00:00"/>
    <n v="124100"/>
    <n v="1"/>
    <n v="124100"/>
    <s v="Chris"/>
    <s v="Approved"/>
    <s v="No"/>
    <m/>
  </r>
  <r>
    <s v="Clyde RCS DEVICE"/>
    <s v="HP"/>
    <s v="Top cover"/>
    <s v="/"/>
    <s v="TK"/>
    <n v="2024"/>
    <n v="1"/>
    <s v="POC"/>
    <d v="2024-11-12T00:00:00"/>
    <n v="2"/>
    <m/>
    <n v="0"/>
    <n v="50000"/>
    <x v="2"/>
    <d v="2024-01-31T00:00:00"/>
    <n v="90000"/>
    <n v="1"/>
    <n v="90000"/>
    <s v="Chris"/>
    <s v="Approved"/>
    <s v="No"/>
    <m/>
  </r>
  <r>
    <s v="Clyde RCS DEVICE"/>
    <s v="HP"/>
    <s v="Button"/>
    <n v="230000960202007"/>
    <s v="TK"/>
    <n v="2024"/>
    <n v="1"/>
    <s v="POC"/>
    <d v="2024-11-12T00:00:00"/>
    <n v="2"/>
    <m/>
    <n v="0"/>
    <n v="50000"/>
    <x v="2"/>
    <d v="2024-01-31T00:00:00"/>
    <n v="92200"/>
    <n v="1"/>
    <n v="92200"/>
    <s v="Chris"/>
    <s v="Approved"/>
    <s v="No"/>
    <m/>
  </r>
  <r>
    <s v="Clyde RCS DEVICE"/>
    <s v="HP"/>
    <s v="Light guidance"/>
    <n v="230000960202006"/>
    <s v="TK"/>
    <n v="2024"/>
    <n v="1"/>
    <s v="POC"/>
    <d v="2024-11-12T00:00:00"/>
    <n v="2"/>
    <m/>
    <n v="0"/>
    <n v="50000"/>
    <x v="2"/>
    <d v="2024-01-31T00:00:00"/>
    <n v="116600"/>
    <n v="1"/>
    <n v="116600"/>
    <s v="Chris"/>
    <s v="Approved"/>
    <s v="No"/>
    <m/>
  </r>
  <r>
    <s v="Clyde RCS DEVICE"/>
    <s v="HP"/>
    <s v="Light guidance"/>
    <n v="230000960202006"/>
    <s v="TK"/>
    <n v="2024"/>
    <n v="1"/>
    <s v="POC"/>
    <d v="2024-11-12T00:00:00"/>
    <n v="2"/>
    <m/>
    <n v="0"/>
    <n v="50000"/>
    <x v="2"/>
    <d v="2024-01-31T00:00:00"/>
    <n v="82000"/>
    <n v="1"/>
    <n v="82000"/>
    <s v="Chris"/>
    <s v="Approved"/>
    <s v="No"/>
    <m/>
  </r>
  <r>
    <s v="Clyde RCS DEVICE"/>
    <s v="HP"/>
    <s v="Toggle switch"/>
    <n v="230000460202005"/>
    <s v="TK"/>
    <n v="2024"/>
    <n v="5"/>
    <s v="POC"/>
    <d v="2024-11-12T00:00:00"/>
    <n v="2"/>
    <m/>
    <n v="0"/>
    <n v="50000"/>
    <x v="0"/>
    <d v="2024-05-17T00:00:00"/>
    <n v="4450.7079646017701"/>
    <n v="1"/>
    <n v="4450.7079646017701"/>
    <s v="Chris"/>
    <s v="Approved"/>
    <s v="No"/>
    <m/>
  </r>
  <r>
    <s v="Clyde RCS DEVICE"/>
    <s v="HP"/>
    <s v="Toggle switch"/>
    <n v="230000460202005"/>
    <s v="TK"/>
    <n v="2024"/>
    <n v="5"/>
    <s v="POC"/>
    <d v="2024-11-12T00:00:00"/>
    <n v="2"/>
    <m/>
    <n v="0"/>
    <n v="50000"/>
    <x v="0"/>
    <d v="2024-05-17T00:00:00"/>
    <n v="3215.9292035398234"/>
    <n v="1"/>
    <n v="3215.9292035398234"/>
    <s v="Chris"/>
    <s v="Approved"/>
    <s v="No"/>
    <m/>
  </r>
  <r>
    <s v="Clyde RCS DEVICE"/>
    <s v="HP"/>
    <s v="Top cover"/>
    <s v="/"/>
    <s v="TK"/>
    <n v="2024"/>
    <n v="5"/>
    <s v="POC"/>
    <d v="2024-11-12T00:00:00"/>
    <n v="2"/>
    <m/>
    <n v="0"/>
    <n v="50000"/>
    <x v="0"/>
    <d v="2024-05-17T00:00:00"/>
    <n v="3215.7079646017701"/>
    <n v="1"/>
    <n v="3215.7079646017701"/>
    <s v="Chris"/>
    <s v="Approved"/>
    <s v="No"/>
    <m/>
  </r>
  <r>
    <s v="Clyde RCS DEVICE"/>
    <s v="HP"/>
    <s v="Toggle switch"/>
    <n v="230000460202005"/>
    <s v="TK"/>
    <n v="2024"/>
    <n v="5"/>
    <s v="POC"/>
    <d v="2024-11-12T00:00:00"/>
    <n v="2"/>
    <m/>
    <n v="0"/>
    <n v="50000"/>
    <x v="0"/>
    <d v="2024-05-17T00:00:00"/>
    <n v="10925"/>
    <n v="1"/>
    <n v="10925"/>
    <s v="Chris"/>
    <s v="Approved"/>
    <s v="No"/>
    <m/>
  </r>
  <r>
    <s v="Clyde RCS DEVICE"/>
    <s v="HP"/>
    <s v="Button"/>
    <n v="230000960202007"/>
    <s v="TK"/>
    <n v="2024"/>
    <n v="5"/>
    <s v="POC"/>
    <d v="2024-11-12T00:00:00"/>
    <n v="2"/>
    <m/>
    <n v="0"/>
    <n v="50000"/>
    <x v="0"/>
    <d v="2024-05-17T00:00:00"/>
    <n v="6270"/>
    <n v="1"/>
    <n v="6270"/>
    <s v="Chris"/>
    <s v="Approved"/>
    <s v="No"/>
    <m/>
  </r>
  <r>
    <s v="Clyde RCS DEVICE"/>
    <s v="HP"/>
    <s v="Light guidance"/>
    <n v="230000960202006"/>
    <s v="TK"/>
    <n v="2024"/>
    <n v="5"/>
    <s v="POC"/>
    <d v="2024-11-12T00:00:00"/>
    <n v="2"/>
    <m/>
    <n v="0"/>
    <n v="50000"/>
    <x v="0"/>
    <d v="2024-05-17T00:00:00"/>
    <n v="24225"/>
    <n v="1"/>
    <n v="24225"/>
    <s v="Chris"/>
    <s v="Approved"/>
    <s v="No"/>
    <m/>
  </r>
  <r>
    <s v="Clyde RCS DEVICE"/>
    <s v="HP"/>
    <s v="Toggle switch"/>
    <n v="230000460202005"/>
    <s v="TK"/>
    <n v="2024"/>
    <n v="7"/>
    <s v="POC"/>
    <d v="2024-11-12T00:00:00"/>
    <n v="2"/>
    <m/>
    <n v="0"/>
    <n v="50000"/>
    <x v="0"/>
    <d v="2024-07-09T00:00:00"/>
    <n v="44850"/>
    <n v="1"/>
    <n v="44850"/>
    <s v="Chris"/>
    <s v="Approved"/>
    <s v="No"/>
    <m/>
  </r>
  <r>
    <s v="Clyde RCS DEVICE"/>
    <s v="HP"/>
    <s v="Button"/>
    <n v="230000960202007"/>
    <s v="TK"/>
    <n v="2024"/>
    <n v="7"/>
    <s v="POC"/>
    <d v="2024-11-12T00:00:00"/>
    <n v="2"/>
    <m/>
    <n v="0"/>
    <n v="50000"/>
    <x v="0"/>
    <d v="2024-07-09T00:00:00"/>
    <n v="7912"/>
    <n v="1"/>
    <n v="7912"/>
    <s v="Chris"/>
    <s v="Approved"/>
    <s v="No"/>
    <m/>
  </r>
  <r>
    <s v="Clyde RCS DEVICE"/>
    <s v="HP"/>
    <s v="Light guidance"/>
    <n v="230000960202006"/>
    <s v="TK"/>
    <n v="2024"/>
    <n v="7"/>
    <s v="POC"/>
    <d v="2024-11-12T00:00:00"/>
    <n v="2"/>
    <m/>
    <n v="0"/>
    <n v="50000"/>
    <x v="0"/>
    <d v="2024-07-09T00:00:00"/>
    <n v="44068"/>
    <n v="1"/>
    <n v="44068"/>
    <s v="Chris"/>
    <s v="Approved"/>
    <s v="No"/>
    <m/>
  </r>
  <r>
    <s v="Clyde RCS DEVICE"/>
    <s v="HP"/>
    <s v="Top cover"/>
    <s v="/"/>
    <s v="TK"/>
    <n v="2024"/>
    <n v="7"/>
    <s v="POC"/>
    <d v="2024-11-12T00:00:00"/>
    <n v="2"/>
    <m/>
    <n v="0"/>
    <n v="50000"/>
    <x v="0"/>
    <d v="2024-07-16T00:00:00"/>
    <n v="65000"/>
    <n v="1"/>
    <n v="65000"/>
    <s v="Chris"/>
    <s v="Approved"/>
    <s v="No"/>
    <m/>
  </r>
  <r>
    <s v="Clyde RCS DEVICE"/>
    <s v="HP"/>
    <s v="Toggle switch"/>
    <n v="230000460202005"/>
    <s v="TK"/>
    <n v="2024"/>
    <n v="7"/>
    <s v="POC"/>
    <d v="2024-11-12T00:00:00"/>
    <n v="2"/>
    <m/>
    <n v="0"/>
    <n v="50000"/>
    <x v="0"/>
    <d v="2024-07-23T00:00:00"/>
    <n v="4867.26"/>
    <n v="1"/>
    <n v="4867.26"/>
    <s v="Chris"/>
    <s v="Approved"/>
    <s v="No"/>
    <m/>
  </r>
  <r>
    <s v="Clyde RCS DEVICE"/>
    <s v="HP"/>
    <s v="Button"/>
    <n v="230000960202007"/>
    <s v="TK"/>
    <n v="2024"/>
    <n v="7"/>
    <s v="POC"/>
    <d v="2024-11-12T00:00:00"/>
    <n v="2"/>
    <m/>
    <n v="0"/>
    <n v="50000"/>
    <x v="0"/>
    <d v="2024-07-23T00:00:00"/>
    <n v="7699.12"/>
    <n v="1"/>
    <n v="7699.12"/>
    <s v="Chris"/>
    <s v="Approved"/>
    <s v="No"/>
    <m/>
  </r>
  <r>
    <s v="Box 3000 Full 2.0"/>
    <s v="MODI"/>
    <s v="Cartridge tank"/>
    <s v="/"/>
    <s v="TK"/>
    <n v="2024"/>
    <n v="4"/>
    <s v="POC"/>
    <d v="2024-11-12T00:00:00"/>
    <n v="2"/>
    <m/>
    <n v="0"/>
    <n v="50000"/>
    <x v="2"/>
    <d v="2024-04-01T00:00:00"/>
    <n v="187000"/>
    <n v="1"/>
    <n v="187000"/>
    <s v="Kevin"/>
    <s v="Approved"/>
    <s v="No"/>
    <m/>
  </r>
  <r>
    <s v="Box 3000 Full 2.0"/>
    <s v="MODI"/>
    <s v="Plastic plug"/>
    <s v="/"/>
    <s v="TK"/>
    <n v="2024"/>
    <n v="4"/>
    <s v="POC"/>
    <d v="2024-11-12T00:00:00"/>
    <n v="2"/>
    <m/>
    <n v="0"/>
    <n v="50000"/>
    <x v="2"/>
    <d v="2024-04-01T00:00:00"/>
    <n v="75000"/>
    <n v="1"/>
    <n v="75000"/>
    <s v="Kevin"/>
    <s v="Approved"/>
    <s v="No"/>
    <m/>
  </r>
  <r>
    <s v="Box 5000 Full 2.0"/>
    <s v="MODI"/>
    <s v="Bottom cover"/>
    <n v="130040670023442"/>
    <s v="TK"/>
    <n v="2024"/>
    <n v="2"/>
    <s v="POC"/>
    <d v="2024-11-12T00:00:00"/>
    <n v="2"/>
    <m/>
    <n v="0"/>
    <n v="50000"/>
    <x v="0"/>
    <d v="2024-02-19T00:00:00"/>
    <n v="12655"/>
    <n v="1"/>
    <n v="12655"/>
    <s v="Chris"/>
    <s v="Approved"/>
    <s v="No"/>
    <m/>
  </r>
  <r>
    <s v="Box 5000 Full 2.0"/>
    <s v="MODI"/>
    <s v="Inner bracket"/>
    <n v="130040670023440"/>
    <s v="TK"/>
    <n v="2024"/>
    <n v="8"/>
    <s v="DP"/>
    <d v="2024-11-12T00:00:00"/>
    <n v="48"/>
    <n v="2029684.8"/>
    <n v="2029684.8"/>
    <n v="1000000"/>
    <x v="1"/>
    <d v="2024-08-29T00:00:00"/>
    <n v="7759"/>
    <n v="1"/>
    <n v="7759"/>
    <s v="Chris"/>
    <s v="Approved"/>
    <s v="No"/>
    <m/>
  </r>
  <r>
    <s v="Box 800 Full 2.0"/>
    <s v="MODI"/>
    <s v="Button"/>
    <n v="130040670017669"/>
    <s v="TK"/>
    <n v="2024"/>
    <n v="4"/>
    <s v="DP"/>
    <d v="2024-11-12T00:00:00"/>
    <n v="48"/>
    <m/>
    <n v="0"/>
    <n v="1000000"/>
    <x v="1"/>
    <d v="2024-04-10T00:00:00"/>
    <n v="6500"/>
    <n v="1"/>
    <n v="6500"/>
    <s v="Chris"/>
    <s v="Approved"/>
    <s v="No"/>
    <m/>
  </r>
  <r>
    <s v="Vega"/>
    <s v="MODI"/>
    <s v="Mouth piece"/>
    <n v="310493191000"/>
    <s v="TK"/>
    <n v="2023"/>
    <n v="1"/>
    <s v="DP"/>
    <d v="2024-11-12T00:00:00"/>
    <n v="32"/>
    <n v="1524984"/>
    <n v="9149904"/>
    <n v="1000000"/>
    <x v="3"/>
    <d v="2023-03-22T00:00:00"/>
    <n v="995000"/>
    <n v="6"/>
    <n v="5970000"/>
    <s v="Srikanth"/>
    <s v="Approved"/>
    <s v="No"/>
    <m/>
  </r>
  <r>
    <s v="Vega"/>
    <s v="MODI"/>
    <s v="Top Plastic Bracket"/>
    <n v="310493192000"/>
    <s v="TK"/>
    <n v="2023"/>
    <n v="1"/>
    <s v="DP"/>
    <d v="2024-11-12T00:00:00"/>
    <n v="48"/>
    <n v="2134978"/>
    <n v="10674890"/>
    <n v="1000000"/>
    <x v="3"/>
    <d v="2023-03-22T00:00:00"/>
    <n v="502800"/>
    <n v="5"/>
    <n v="2514000"/>
    <s v="Srikanth"/>
    <s v="Approved"/>
    <s v="No"/>
    <m/>
  </r>
  <r>
    <s v="Vega"/>
    <s v="MODI"/>
    <s v="Bottom Plastic Bracket"/>
    <n v="310493193000"/>
    <s v="TK"/>
    <n v="2023"/>
    <n v="1"/>
    <s v="DP"/>
    <d v="2024-11-12T00:00:00"/>
    <n v="48"/>
    <n v="1779148"/>
    <n v="8895740"/>
    <n v="1000000"/>
    <x v="3"/>
    <d v="2023-03-22T00:00:00"/>
    <n v="593600"/>
    <n v="5"/>
    <n v="2968000"/>
    <s v="Srikanth"/>
    <s v="Approved"/>
    <s v="No"/>
    <m/>
  </r>
  <r>
    <s v="Vega"/>
    <s v="MODI"/>
    <s v="battery bracket-Cuvre"/>
    <n v="310493194000"/>
    <s v="TK"/>
    <n v="2023"/>
    <n v="1"/>
    <s v="DP"/>
    <d v="2024-11-12T00:00:00"/>
    <n v="48"/>
    <n v="2052864"/>
    <n v="10264320"/>
    <n v="1000000"/>
    <x v="3"/>
    <d v="2023-03-22T00:00:00"/>
    <n v="680000"/>
    <n v="5"/>
    <n v="3400000"/>
    <s v="Srikanth"/>
    <s v="Approved"/>
    <s v="No"/>
    <m/>
  </r>
  <r>
    <s v="Vega"/>
    <s v="MODI"/>
    <s v="Air Flow slider"/>
    <s v="/"/>
    <s v="TK"/>
    <n v="2023"/>
    <n v="1"/>
    <s v="DP"/>
    <d v="2024-11-12T00:00:00"/>
    <n v="48"/>
    <n v="3431215"/>
    <n v="10293645"/>
    <n v="1000000"/>
    <x v="3"/>
    <d v="2023-03-22T00:00:00"/>
    <n v="550000"/>
    <n v="3"/>
    <n v="1650000"/>
    <s v="Srikanth"/>
    <s v="Approved"/>
    <s v="No"/>
    <m/>
  </r>
  <r>
    <s v="Hestia 1.0"/>
    <s v="RCS POD"/>
    <s v="Cartridge tank"/>
    <n v="130040670029868"/>
    <s v="TK"/>
    <n v="2024"/>
    <n v="2"/>
    <s v="DP"/>
    <d v="2024-11-12T00:00:00"/>
    <n v="32"/>
    <n v="1797120"/>
    <n v="14376960"/>
    <n v="1000000"/>
    <x v="3"/>
    <d v="2024-03-01T00:00:00"/>
    <n v="1114150.875"/>
    <n v="8"/>
    <n v="8913207"/>
    <s v="Chris"/>
    <s v="Approved"/>
    <s v="No"/>
    <m/>
  </r>
  <r>
    <s v="Hestia 1.0"/>
    <s v="RCS POD"/>
    <s v="Heater top cover"/>
    <n v="130040670020899"/>
    <s v="TK"/>
    <n v="2024"/>
    <n v="2"/>
    <s v="DP"/>
    <d v="2024-11-12T00:00:00"/>
    <n v="48"/>
    <n v="2965248"/>
    <n v="14826240"/>
    <n v="1000000"/>
    <x v="3"/>
    <d v="2024-03-01T00:00:00"/>
    <n v="1178696.8"/>
    <n v="5"/>
    <n v="5893484"/>
    <s v="Chris"/>
    <s v="Approved"/>
    <s v="No"/>
    <m/>
  </r>
  <r>
    <s v="Hestia 1.0"/>
    <s v="RCS POD"/>
    <s v="Heater holder"/>
    <n v="130040670020898"/>
    <s v="TK"/>
    <n v="2024"/>
    <n v="2"/>
    <s v="DP"/>
    <d v="2024-11-12T00:00:00"/>
    <n v="48"/>
    <n v="2965248"/>
    <n v="14826240"/>
    <n v="1000000"/>
    <x v="3"/>
    <d v="2024-03-01T00:00:00"/>
    <n v="1159839.3999999999"/>
    <n v="5"/>
    <n v="5799197"/>
    <s v="Chris"/>
    <s v="Approved"/>
    <s v="No"/>
    <m/>
  </r>
  <r>
    <s v="DP1500"/>
    <s v="MODI"/>
    <s v="DP1500-Battery tube"/>
    <n v="353003232"/>
    <s v="TK"/>
    <n v="2022"/>
    <n v="3"/>
    <s v="DP"/>
    <d v="2024-11-12T00:00:00"/>
    <n v="8"/>
    <n v="385097.14285714284"/>
    <n v="770194.28571428568"/>
    <n v="1000000"/>
    <x v="3"/>
    <d v="2022-03-01T00:00:00"/>
    <n v="415000"/>
    <n v="2"/>
    <n v="830000"/>
    <s v="Srikanth"/>
    <s v="Approved"/>
    <s v="No"/>
    <m/>
  </r>
  <r>
    <s v="DP1500"/>
    <s v="MODI"/>
    <s v="DP1500-Heater bottom"/>
    <n v="353003233"/>
    <s v="TK"/>
    <n v="2022"/>
    <n v="3"/>
    <s v="DP"/>
    <d v="2024-11-12T00:00:00"/>
    <n v="32"/>
    <n v="1925485.7142857143"/>
    <n v="1925485.7142857143"/>
    <n v="1000000"/>
    <x v="3"/>
    <d v="2022-03-01T00:00:00"/>
    <n v="396100"/>
    <n v="1"/>
    <n v="396100"/>
    <s v="Srikanth"/>
    <s v="Approved"/>
    <s v="No"/>
    <m/>
  </r>
  <r>
    <s v="DP1500"/>
    <s v="MODI"/>
    <s v="DP1500-Mouthpiece"/>
    <n v="353003231"/>
    <s v="TK"/>
    <n v="2022"/>
    <n v="3"/>
    <s v="DP"/>
    <d v="2024-11-12T00:00:00"/>
    <n v="16"/>
    <n v="770194.28571428568"/>
    <n v="770194.28571428568"/>
    <n v="1000000"/>
    <x v="3"/>
    <d v="2022-03-01T00:00:00"/>
    <n v="450000"/>
    <n v="1"/>
    <n v="450000"/>
    <s v="Srikanth"/>
    <s v="Approved"/>
    <s v="No"/>
    <m/>
  </r>
  <r>
    <s v="Box 800 Default 2.0"/>
    <s v="MODI"/>
    <s v="Cartridge tank"/>
    <n v="130040670018928"/>
    <s v="TK"/>
    <n v="2024"/>
    <n v="1"/>
    <s v="DP"/>
    <d v="2024-11-12T00:00:00"/>
    <n v="24"/>
    <n v="1067040"/>
    <n v="5335200"/>
    <n v="1000000"/>
    <x v="3"/>
    <d v="2024-01-31T00:00:00"/>
    <n v="840000"/>
    <n v="5"/>
    <n v="4200000"/>
    <s v="Chris"/>
    <s v="Approved"/>
    <s v="No"/>
    <m/>
  </r>
  <r>
    <s v="Box 800 Default 2.0"/>
    <s v="MODI"/>
    <s v="Heater top cover"/>
    <n v="130040670018929"/>
    <s v="TK"/>
    <n v="2024"/>
    <n v="1"/>
    <s v="DP"/>
    <d v="2024-11-12T00:00:00"/>
    <n v="48"/>
    <n v="2490280"/>
    <n v="4980560"/>
    <n v="1000000"/>
    <x v="3"/>
    <d v="2024-01-31T00:00:00"/>
    <n v="451000"/>
    <n v="2"/>
    <n v="902000"/>
    <s v="Chris"/>
    <s v="Approved"/>
    <s v="No"/>
    <m/>
  </r>
  <r>
    <s v="Box 800 Default 2.0"/>
    <s v="MODI"/>
    <s v="Heating holder"/>
    <n v="130040670018930"/>
    <s v="TK"/>
    <n v="2024"/>
    <n v="1"/>
    <s v="DP"/>
    <d v="2024-11-12T00:00:00"/>
    <n v="48"/>
    <n v="2490280"/>
    <n v="4980560"/>
    <n v="1000000"/>
    <x v="3"/>
    <d v="2024-01-31T00:00:00"/>
    <n v="514000"/>
    <n v="2"/>
    <n v="1028000"/>
    <s v="Chris"/>
    <s v="Approved"/>
    <s v="No"/>
    <m/>
  </r>
  <r>
    <s v="Box 800 Default 2.0"/>
    <s v="MODI"/>
    <s v="Slider"/>
    <n v="130040670027765"/>
    <s v="TK"/>
    <n v="2024"/>
    <n v="1"/>
    <s v="DP"/>
    <d v="2024-11-12T00:00:00"/>
    <n v="48"/>
    <n v="2574566"/>
    <n v="10298264"/>
    <n v="1000000"/>
    <x v="3"/>
    <d v="2024-01-31T00:00:00"/>
    <n v="380000"/>
    <n v="4"/>
    <n v="1520000"/>
    <s v="Chris"/>
    <s v="Approved"/>
    <s v="No"/>
    <m/>
  </r>
  <r>
    <s v="Box 800 Default 2.0"/>
    <s v="MODI"/>
    <s v="Bottom cover"/>
    <n v="130040670018919"/>
    <s v="TK"/>
    <n v="2024"/>
    <n v="1"/>
    <s v="DP"/>
    <d v="2024-11-12T00:00:00"/>
    <n v="48"/>
    <n v="1969920"/>
    <n v="3939840"/>
    <n v="1000000"/>
    <x v="3"/>
    <d v="2024-01-31T00:00:00"/>
    <n v="850000"/>
    <n v="2"/>
    <n v="1700000"/>
    <s v="Chris"/>
    <s v="Approved"/>
    <s v="No"/>
    <m/>
  </r>
  <r>
    <s v="Box 800 Default 2.0"/>
    <s v="MODI"/>
    <s v="Plastic plug"/>
    <n v="130040670018925"/>
    <s v="TK"/>
    <n v="2024"/>
    <n v="1"/>
    <s v="DP"/>
    <d v="2024-11-12T00:00:00"/>
    <n v="48"/>
    <n v="2817880"/>
    <n v="5635760"/>
    <n v="1000000"/>
    <x v="3"/>
    <d v="2024-01-31T00:00:00"/>
    <n v="257000"/>
    <n v="2"/>
    <n v="514000"/>
    <s v="Chris"/>
    <s v="Approved"/>
    <s v="No"/>
    <m/>
  </r>
  <r>
    <s v="Box 800 Full 2.0"/>
    <s v="MODI"/>
    <s v="Inner bracket"/>
    <n v="130040670023899"/>
    <s v="TK"/>
    <n v="2024"/>
    <n v="1"/>
    <s v="DP"/>
    <d v="2024-11-12T00:00:00"/>
    <n v="48"/>
    <n v="2008545.6"/>
    <n v="2008545.6"/>
    <n v="1000000"/>
    <x v="3"/>
    <d v="2024-01-31T00:00:00"/>
    <n v="1100000"/>
    <n v="1"/>
    <n v="1100000"/>
    <s v="Chris"/>
    <s v="Approved"/>
    <s v="No"/>
    <m/>
  </r>
  <r>
    <s v="Box 800 Full 2.0"/>
    <s v="MODI"/>
    <s v="Bottom cover"/>
    <n v="130040670023900"/>
    <s v="TK"/>
    <n v="2024"/>
    <n v="1"/>
    <s v="DP"/>
    <d v="2024-11-12T00:00:00"/>
    <n v="48"/>
    <n v="1969920"/>
    <n v="1969920"/>
    <n v="1000000"/>
    <x v="3"/>
    <d v="2024-01-31T00:00:00"/>
    <n v="999000"/>
    <n v="1"/>
    <n v="999000"/>
    <s v="Chris"/>
    <s v="Approved"/>
    <s v="No"/>
    <m/>
  </r>
  <r>
    <s v="Box 800 Full 2.0"/>
    <s v="MODI"/>
    <s v="PCB BRACKET"/>
    <n v="130040670023906"/>
    <s v="TK"/>
    <n v="2024"/>
    <n v="1"/>
    <s v="DP"/>
    <d v="2024-11-12T00:00:00"/>
    <n v="48"/>
    <n v="2609152"/>
    <n v="2609152"/>
    <n v="1000000"/>
    <x v="3"/>
    <d v="2024-01-31T00:00:00"/>
    <n v="355000"/>
    <n v="1"/>
    <n v="355000"/>
    <s v="Chris"/>
    <s v="Approved"/>
    <s v="No"/>
    <m/>
  </r>
  <r>
    <s v="Box 800 Full 2.0"/>
    <s v="MODI"/>
    <s v="Battery top cover"/>
    <n v="130040670039455"/>
    <s v="TK"/>
    <n v="2024"/>
    <n v="1"/>
    <s v="DP"/>
    <d v="2024-11-12T00:00:00"/>
    <n v="48"/>
    <n v="2515968"/>
    <n v="5031936"/>
    <n v="1000000"/>
    <x v="3"/>
    <d v="2024-01-31T00:00:00"/>
    <n v="510000"/>
    <n v="2"/>
    <n v="1020000"/>
    <s v="Chris"/>
    <s v="Approved"/>
    <s v="No"/>
    <m/>
  </r>
  <r>
    <s v="Box 800 Full 2.0"/>
    <s v="MODI"/>
    <s v="Battery bottom cover"/>
    <n v="130040670039442"/>
    <s v="TK"/>
    <n v="2024"/>
    <n v="1"/>
    <s v="DP"/>
    <d v="2024-11-12T00:00:00"/>
    <n v="48"/>
    <n v="2515968"/>
    <n v="5031936"/>
    <n v="1000000"/>
    <x v="3"/>
    <d v="2024-01-31T00:00:00"/>
    <n v="510000"/>
    <n v="2"/>
    <n v="1020000"/>
    <s v="Chris"/>
    <s v="Approved"/>
    <s v="No"/>
    <m/>
  </r>
  <r>
    <s v="Box 800 Full 2.0"/>
    <s v="MODI"/>
    <s v="Button"/>
    <n v="130040670017669"/>
    <s v="TK"/>
    <n v="2024"/>
    <n v="1"/>
    <s v="DP"/>
    <d v="2024-11-12T00:00:00"/>
    <n v="48"/>
    <n v="2709491"/>
    <n v="5418982"/>
    <n v="1000000"/>
    <x v="3"/>
    <d v="2024-01-31T00:00:00"/>
    <n v="380000"/>
    <n v="2"/>
    <n v="760000"/>
    <s v="Chris"/>
    <s v="Approved"/>
    <s v="No"/>
    <m/>
  </r>
  <r>
    <s v="Pen 800 Default 2.0"/>
    <s v="MODI"/>
    <s v="Cartridge tank"/>
    <n v="130040670021245"/>
    <s v="TK"/>
    <n v="2024"/>
    <n v="1"/>
    <s v="DP"/>
    <d v="2024-11-12T00:00:00"/>
    <n v="32"/>
    <n v="1517568"/>
    <n v="7587840"/>
    <n v="1000000"/>
    <x v="3"/>
    <d v="2024-01-31T00:00:00"/>
    <n v="630000"/>
    <n v="5"/>
    <n v="3150000"/>
    <s v="Chris"/>
    <s v="Approved"/>
    <s v="No"/>
    <m/>
  </r>
  <r>
    <s v="Pen 800 Default 2.0"/>
    <s v="MODI"/>
    <s v="Heater top cover"/>
    <n v="130040670021246"/>
    <s v="TK"/>
    <n v="2024"/>
    <n v="1"/>
    <s v="DP"/>
    <d v="2024-11-12T00:00:00"/>
    <n v="48"/>
    <n v="2737152"/>
    <n v="8211456"/>
    <n v="1000000"/>
    <x v="3"/>
    <d v="2024-01-31T00:00:00"/>
    <n v="450000"/>
    <n v="3"/>
    <n v="1350000"/>
    <s v="Chris"/>
    <s v="Approved"/>
    <s v="No"/>
    <m/>
  </r>
  <r>
    <s v="Pen 800 Default 2.0"/>
    <s v="MODI"/>
    <s v="Heating holder"/>
    <n v="130040670026558"/>
    <s v="TK"/>
    <n v="2024"/>
    <n v="1"/>
    <s v="DP"/>
    <d v="2024-11-12T00:00:00"/>
    <n v="48"/>
    <n v="2635776"/>
    <n v="7907328"/>
    <n v="1000000"/>
    <x v="3"/>
    <d v="2024-01-31T00:00:00"/>
    <n v="510000"/>
    <n v="3"/>
    <n v="1530000"/>
    <s v="Chris"/>
    <s v="Approved"/>
    <s v="No"/>
    <m/>
  </r>
  <r>
    <s v="Pen 800 Default 2.0"/>
    <s v="MODI"/>
    <s v="bottom cover"/>
    <n v="130040670021244"/>
    <s v="TK"/>
    <n v="2024"/>
    <n v="1"/>
    <s v="DP"/>
    <d v="2024-11-12T00:00:00"/>
    <n v="48"/>
    <n v="2324275.2000000002"/>
    <n v="4648550.4000000004"/>
    <n v="1000000"/>
    <x v="3"/>
    <d v="2024-01-31T00:00:00"/>
    <n v="630000"/>
    <n v="2"/>
    <n v="1260000"/>
    <s v="Chris"/>
    <s v="Approved"/>
    <s v="No"/>
    <m/>
  </r>
  <r>
    <s v="Pen 800 Full 2.0"/>
    <s v="MODI"/>
    <s v="Bottom cover"/>
    <n v="130040670017656"/>
    <s v="TK"/>
    <n v="2024"/>
    <n v="1"/>
    <s v="DP"/>
    <d v="2024-11-12T00:00:00"/>
    <n v="48"/>
    <n v="2324275.2000000002"/>
    <n v="2324275.2000000002"/>
    <n v="1000000"/>
    <x v="3"/>
    <d v="2024-01-31T00:00:00"/>
    <n v="525000"/>
    <n v="1"/>
    <n v="525000"/>
    <s v="Chris"/>
    <s v="Approved"/>
    <s v="No"/>
    <m/>
  </r>
  <r>
    <s v="Pen 800 Full 2.0"/>
    <s v="MODI"/>
    <s v="Inner bracket"/>
    <n v="130040670017662"/>
    <s v="TK"/>
    <n v="2024"/>
    <n v="1"/>
    <s v="DP"/>
    <d v="2024-11-12T00:00:00"/>
    <n v="48"/>
    <n v="2709491.2"/>
    <n v="2709491.2"/>
    <n v="1000000"/>
    <x v="3"/>
    <d v="2024-01-31T00:00:00"/>
    <n v="589000"/>
    <n v="1"/>
    <n v="589000"/>
    <s v="Chris"/>
    <s v="Approved"/>
    <s v="No"/>
    <m/>
  </r>
  <r>
    <s v="Pen 800 Full 2.0"/>
    <s v="MODI"/>
    <s v="Battery module top cover"/>
    <n v="130040670017658"/>
    <s v="TK"/>
    <n v="2024"/>
    <n v="1"/>
    <s v="DP"/>
    <d v="2024-11-12T00:00:00"/>
    <n v="48"/>
    <n v="2709491.2"/>
    <n v="2709491.2"/>
    <n v="1000000"/>
    <x v="3"/>
    <d v="2024-01-31T00:00:00"/>
    <n v="325000"/>
    <n v="1"/>
    <n v="325000"/>
    <s v="Chris"/>
    <s v="Approved"/>
    <s v="No"/>
    <m/>
  </r>
  <r>
    <s v="Box 5000 Full 2.0"/>
    <s v="MODI"/>
    <s v="Cartridge tank"/>
    <n v="130040670023444"/>
    <s v="TK"/>
    <n v="2024"/>
    <n v="1"/>
    <s v="DP"/>
    <d v="2024-11-12T00:00:00"/>
    <n v="24"/>
    <n v="922833.60000000009"/>
    <n v="1845667.2000000002"/>
    <n v="1000000"/>
    <x v="3"/>
    <d v="2024-01-31T00:00:00"/>
    <n v="990000"/>
    <n v="2"/>
    <n v="1980000"/>
    <s v="Chris"/>
    <s v="Approved"/>
    <s v="No"/>
    <m/>
  </r>
  <r>
    <s v="Box 5000 Full 2.0"/>
    <s v="MODI"/>
    <s v="Heater top cover"/>
    <n v="130040670023445"/>
    <s v="TK"/>
    <n v="2024"/>
    <n v="1"/>
    <s v="DP"/>
    <d v="2024-11-12T00:00:00"/>
    <n v="48"/>
    <n v="2404417.6"/>
    <n v="2404417.6"/>
    <n v="1000000"/>
    <x v="3"/>
    <d v="2024-01-31T00:00:00"/>
    <n v="570000"/>
    <n v="1"/>
    <n v="570000"/>
    <s v="Chris"/>
    <s v="Approved"/>
    <s v="No"/>
    <m/>
  </r>
  <r>
    <s v="Box 5000 Full 2.0"/>
    <s v="MODI"/>
    <s v="Heating holder"/>
    <n v="130040670023448"/>
    <s v="TK"/>
    <n v="2024"/>
    <n v="1"/>
    <s v="DP"/>
    <d v="2024-11-12T00:00:00"/>
    <n v="48"/>
    <n v="2404417.6"/>
    <n v="2404417.6"/>
    <n v="1000000"/>
    <x v="3"/>
    <d v="2024-01-31T00:00:00"/>
    <n v="615000"/>
    <n v="1"/>
    <n v="615000"/>
    <s v="Chris"/>
    <s v="Approved"/>
    <s v="No"/>
    <m/>
  </r>
  <r>
    <s v="Box 5000 Full 2.0"/>
    <s v="MODI"/>
    <s v="Inner bracket"/>
    <n v="130040670023440"/>
    <s v="TK"/>
    <n v="2024"/>
    <n v="1"/>
    <s v="DP"/>
    <d v="2024-11-12T00:00:00"/>
    <n v="48"/>
    <n v="2029684.8"/>
    <n v="2029684.8"/>
    <n v="1000000"/>
    <x v="3"/>
    <d v="2024-01-31T00:00:00"/>
    <n v="1100000"/>
    <n v="1"/>
    <n v="1100000"/>
    <s v="Chris"/>
    <s v="Approved"/>
    <s v="No"/>
    <m/>
  </r>
  <r>
    <s v="Box 5000 Full 2.0"/>
    <s v="MODI"/>
    <s v="Bottom cover"/>
    <n v="130040670023442"/>
    <s v="TK"/>
    <n v="2024"/>
    <n v="1"/>
    <s v="DP"/>
    <d v="2024-11-12T00:00:00"/>
    <n v="48"/>
    <n v="2134080"/>
    <n v="2134080"/>
    <n v="1000000"/>
    <x v="3"/>
    <d v="2024-01-31T00:00:00"/>
    <n v="999000"/>
    <n v="1"/>
    <n v="999000"/>
    <s v="Chris"/>
    <s v="Approved"/>
    <s v="No"/>
    <m/>
  </r>
  <r>
    <s v="Box 5000 Full 2.0"/>
    <s v="MODI"/>
    <s v="PCBA Bracket"/>
    <n v="130040670024534"/>
    <s v="TK"/>
    <n v="2024"/>
    <n v="1"/>
    <s v="DP"/>
    <d v="2024-11-12T00:00:00"/>
    <n v="48"/>
    <n v="2935296"/>
    <n v="2935296"/>
    <n v="1000000"/>
    <x v="3"/>
    <d v="2024-01-31T00:00:00"/>
    <n v="345000"/>
    <n v="1"/>
    <n v="345000"/>
    <s v="Chris"/>
    <s v="Approved"/>
    <s v="No"/>
    <m/>
  </r>
  <r>
    <s v="Box 5000 Full 2.0"/>
    <s v="MODI"/>
    <s v=" Plastic plug"/>
    <n v="130040670023443"/>
    <s v="TK"/>
    <n v="2024"/>
    <n v="1"/>
    <s v="DP"/>
    <d v="2024-11-12T00:00:00"/>
    <n v="48"/>
    <n v="2817880"/>
    <n v="2817880"/>
    <n v="1000000"/>
    <x v="3"/>
    <d v="2024-01-31T00:00:00"/>
    <n v="315000"/>
    <n v="1"/>
    <n v="315000"/>
    <s v="Chris"/>
    <s v="Approved"/>
    <s v="No"/>
    <m/>
  </r>
  <r>
    <s v="HESTIA 1.1 (s3t)"/>
    <e v="#N/A"/>
    <s v="Cartridge tank"/>
    <n v="130010670071926"/>
    <s v="TK"/>
    <n v="2024"/>
    <n v="8"/>
    <s v="DP"/>
    <d v="2024-11-12T00:00:00"/>
    <n v="16"/>
    <n v="1022242"/>
    <n v="1022242"/>
    <n v="1000000"/>
    <x v="3"/>
    <d v="2024-07-23T00:00:00"/>
    <n v="558000"/>
    <n v="1"/>
    <n v="558000"/>
    <s v="Candy"/>
    <s v="Approved"/>
    <s v="No"/>
    <m/>
  </r>
  <r>
    <s v="1K BOX SEMI"/>
    <s v="MODI"/>
    <s v="Cartridge tank-semi"/>
    <n v="130040670025558"/>
    <s v="TK"/>
    <n v="2023"/>
    <n v="12"/>
    <s v="POC"/>
    <d v="2024-11-12T00:00:00"/>
    <n v="2"/>
    <m/>
    <n v="0"/>
    <n v="50000"/>
    <x v="2"/>
    <d v="2023-12-13T00:00:00"/>
    <n v="151327.43362831901"/>
    <n v="1"/>
    <n v="151327.43362831901"/>
    <s v="Chris"/>
    <s v="Approved"/>
    <s v="No"/>
    <m/>
  </r>
  <r>
    <s v="1K BOX SEMI"/>
    <s v="MODI"/>
    <s v="Bottom cover-semi"/>
    <n v="130040670025546"/>
    <s v="TK"/>
    <n v="2023"/>
    <n v="12"/>
    <s v="POC"/>
    <d v="2024-11-12T00:00:00"/>
    <n v="2"/>
    <m/>
    <n v="0"/>
    <n v="50000"/>
    <x v="2"/>
    <d v="2023-12-13T00:00:00"/>
    <n v="86725.663716814204"/>
    <n v="1"/>
    <n v="86725.663716814204"/>
    <s v="Chris"/>
    <s v="Approved"/>
    <s v="No"/>
    <m/>
  </r>
  <r>
    <s v="Box 5000 Full 2.0"/>
    <s v="MODI"/>
    <s v="Bottom cover"/>
    <n v="130040670023442"/>
    <s v="TK"/>
    <n v="2024"/>
    <n v="2"/>
    <s v="POA"/>
    <d v="2024-11-12T00:00:00"/>
    <n v="2"/>
    <m/>
    <n v="0"/>
    <n v="50000"/>
    <x v="0"/>
    <d v="2024-02-19T00:00:00"/>
    <n v="12655"/>
    <n v="1"/>
    <n v="12655"/>
    <s v="Chris"/>
    <s v="Approved"/>
    <s v="No"/>
    <m/>
  </r>
  <r>
    <s v="Hestia 1.0"/>
    <s v="RCS POD"/>
    <s v="Cartridge tank"/>
    <n v="130040670029868"/>
    <s v="TK"/>
    <n v="2024"/>
    <n v="2"/>
    <s v="POA"/>
    <d v="2024-11-12T00:00:00"/>
    <n v="2"/>
    <n v="1797120"/>
    <n v="1797120"/>
    <n v="50000"/>
    <x v="0"/>
    <d v="2024-03-24T00:00:00"/>
    <n v="7522"/>
    <n v="1"/>
    <n v="7522"/>
    <s v="Chris"/>
    <s v="Approved"/>
    <s v="No"/>
    <m/>
  </r>
  <r>
    <s v="MIMOSA 1.0"/>
    <s v="RCS DEVICE"/>
    <s v="Front cover"/>
    <s v="/"/>
    <s v="TK"/>
    <n v="2023"/>
    <n v="12"/>
    <s v="POC"/>
    <d v="2024-11-12T00:00:00"/>
    <n v="2"/>
    <m/>
    <n v="0"/>
    <n v="50000"/>
    <x v="2"/>
    <d v="2023-12-10T00:00:00"/>
    <n v="54867.256637168146"/>
    <n v="1"/>
    <n v="54867.256637168146"/>
    <s v="Chris"/>
    <s v="Approved"/>
    <s v="No"/>
    <m/>
  </r>
  <r>
    <s v="MIMOSA 1.0"/>
    <s v="RCS DEVICE"/>
    <s v="Mid Frame Cover"/>
    <s v="/"/>
    <s v="TK"/>
    <n v="2023"/>
    <n v="12"/>
    <s v="POC"/>
    <d v="2024-11-12T00:00:00"/>
    <n v="2"/>
    <m/>
    <n v="0"/>
    <n v="50000"/>
    <x v="2"/>
    <d v="2023-12-10T00:00:00"/>
    <m/>
    <n v="1"/>
    <m/>
    <s v="Chris"/>
    <s v="Approved"/>
    <s v="No"/>
    <m/>
  </r>
  <r>
    <s v="MIMOSA 1.0"/>
    <s v="RCS DEVICE"/>
    <s v="Middle frame"/>
    <s v="/"/>
    <s v="TK"/>
    <n v="2023"/>
    <n v="12"/>
    <s v="POC"/>
    <d v="2024-11-12T00:00:00"/>
    <n v="2"/>
    <m/>
    <n v="0"/>
    <n v="50000"/>
    <x v="2"/>
    <d v="2023-12-10T00:00:00"/>
    <n v="129203.53982300886"/>
    <n v="1"/>
    <n v="129203.53982300886"/>
    <s v="Chris"/>
    <s v="Approved"/>
    <s v="No"/>
    <m/>
  </r>
  <r>
    <s v="MIMOSA 1.0"/>
    <s v="RCS DEVICE"/>
    <s v="Back cover"/>
    <s v="/"/>
    <s v="TK"/>
    <n v="2023"/>
    <n v="12"/>
    <s v="POC"/>
    <d v="2024-11-12T00:00:00"/>
    <n v="2"/>
    <m/>
    <n v="0"/>
    <n v="50000"/>
    <x v="2"/>
    <d v="2023-12-10T00:00:00"/>
    <n v="139823.00884955755"/>
    <n v="1"/>
    <n v="139823.00884955755"/>
    <s v="Chris"/>
    <s v="Approved"/>
    <s v="No"/>
    <m/>
  </r>
  <r>
    <s v="MIMOSA 1.0"/>
    <s v="RCS DEVICE"/>
    <s v="Bottom cover"/>
    <s v="/"/>
    <s v="TK"/>
    <n v="2023"/>
    <n v="12"/>
    <s v="POC"/>
    <d v="2024-11-12T00:00:00"/>
    <n v="2"/>
    <m/>
    <n v="0"/>
    <n v="50000"/>
    <x v="2"/>
    <d v="2023-12-10T00:00:00"/>
    <n v="122123.89380530975"/>
    <n v="1"/>
    <n v="122123.89380530975"/>
    <s v="Chris"/>
    <s v="Approved"/>
    <s v="No"/>
    <m/>
  </r>
  <r>
    <s v="MIMOSA 1.0"/>
    <s v="RCS DEVICE"/>
    <s v="Battery - Tube"/>
    <s v="/"/>
    <s v="TK"/>
    <n v="2023"/>
    <n v="12"/>
    <s v="POC"/>
    <d v="2024-11-12T00:00:00"/>
    <n v="2"/>
    <m/>
    <n v="0"/>
    <n v="50000"/>
    <x v="2"/>
    <d v="2023-12-10T00:00:00"/>
    <n v="113274.33628318585"/>
    <n v="1"/>
    <n v="113274.33628318585"/>
    <s v="Chris"/>
    <s v="Approved"/>
    <s v="No"/>
    <m/>
  </r>
  <r>
    <s v="Box 800 Default 2.0"/>
    <s v="MODI"/>
    <s v="Heating holder"/>
    <n v="130040670018930"/>
    <s v="TK"/>
    <n v="2023"/>
    <n v="11"/>
    <s v="POC"/>
    <d v="2024-11-12T00:00:00"/>
    <n v="48"/>
    <n v="2490280"/>
    <n v="2490280"/>
    <n v="1000000"/>
    <x v="1"/>
    <d v="2023-11-21T00:00:00"/>
    <n v="153539"/>
    <n v="1"/>
    <n v="153539"/>
    <s v="Chris"/>
    <s v="Approved"/>
    <s v="No"/>
    <m/>
  </r>
  <r>
    <s v="Box 800 Default 2.0"/>
    <s v="MODI"/>
    <s v="Cartridge tank"/>
    <n v="130040670018928"/>
    <s v="TK"/>
    <n v="2023"/>
    <n v="11"/>
    <s v="POC"/>
    <d v="2024-11-12T00:00:00"/>
    <n v="24"/>
    <n v="1067040"/>
    <n v="1067040"/>
    <n v="1000000"/>
    <x v="1"/>
    <d v="2023-11-24T00:00:00"/>
    <n v="20353.982300884956"/>
    <n v="1"/>
    <n v="20353.982300884956"/>
    <s v="Chris"/>
    <s v="Approved"/>
    <s v="No"/>
    <m/>
  </r>
  <r>
    <s v="Box 800 Default 2.0"/>
    <s v="MODI"/>
    <s v="Slider"/>
    <n v="130040670027765"/>
    <s v="TK"/>
    <n v="2023"/>
    <n v="11"/>
    <s v="POC"/>
    <d v="2024-11-12T00:00:00"/>
    <n v="48"/>
    <m/>
    <n v="0"/>
    <n v="1000000"/>
    <x v="1"/>
    <d v="2023-11-29T00:00:00"/>
    <n v="94931.85840707965"/>
    <n v="1"/>
    <n v="94931.85840707965"/>
    <s v="Chris"/>
    <s v="Approved"/>
    <s v="No"/>
    <m/>
  </r>
  <r>
    <s v="Box 800 Default 2.0"/>
    <s v="MODI"/>
    <s v="Heating holder"/>
    <n v="130040670018930"/>
    <s v="TK"/>
    <n v="2023"/>
    <n v="11"/>
    <s v="POC"/>
    <d v="2024-11-12T00:00:00"/>
    <n v="2"/>
    <m/>
    <n v="0"/>
    <n v="50000"/>
    <x v="0"/>
    <d v="2023-11-16T00:00:00"/>
    <n v="60176.991150442482"/>
    <n v="1"/>
    <n v="60176.991150442482"/>
    <s v="Chris"/>
    <s v="Approved"/>
    <s v="No"/>
    <m/>
  </r>
  <r>
    <s v="Box 800 Default 2.0"/>
    <s v="MODI"/>
    <s v="Heating holder"/>
    <n v="130040670018930"/>
    <s v="TK"/>
    <n v="2023"/>
    <n v="11"/>
    <s v="POC"/>
    <d v="2024-11-12T00:00:00"/>
    <n v="2"/>
    <m/>
    <n v="0"/>
    <n v="50000"/>
    <x v="0"/>
    <d v="2023-11-22T00:00:00"/>
    <n v="4867.2566371681423"/>
    <n v="1"/>
    <n v="4867.2566371681423"/>
    <s v="Chris"/>
    <s v="Approved"/>
    <s v="No"/>
    <m/>
  </r>
  <r>
    <s v="Box 800 Default 2.0"/>
    <s v="MODI"/>
    <s v="Cartridge tank"/>
    <n v="130040670018928"/>
    <s v="TK"/>
    <n v="2023"/>
    <n v="11"/>
    <s v="POC"/>
    <d v="2024-11-12T00:00:00"/>
    <n v="2"/>
    <m/>
    <n v="0"/>
    <n v="50000"/>
    <x v="0"/>
    <d v="2023-11-22T00:00:00"/>
    <n v="5200.0000000000009"/>
    <n v="1"/>
    <n v="5200.0000000000009"/>
    <s v="Chris"/>
    <s v="Approved"/>
    <s v="No"/>
    <m/>
  </r>
  <r>
    <s v="Box 800 Default 2.0"/>
    <s v="MODI"/>
    <s v="Slider"/>
    <n v="130040670027765"/>
    <s v="TK"/>
    <n v="2023"/>
    <n v="11"/>
    <s v="POC"/>
    <d v="2024-11-12T00:00:00"/>
    <n v="2"/>
    <m/>
    <n v="0"/>
    <n v="50000"/>
    <x v="0"/>
    <d v="2023-11-24T00:00:00"/>
    <n v="10619.469026548673"/>
    <n v="1"/>
    <n v="10619.469026548673"/>
    <s v="Chris"/>
    <s v="Approved"/>
    <s v="No"/>
    <m/>
  </r>
  <r>
    <s v="Box 5000 Full 2.0"/>
    <s v="MODI"/>
    <s v="Heating holder"/>
    <n v="130040670023448"/>
    <s v="TK"/>
    <n v="2023"/>
    <n v="11"/>
    <s v="POC"/>
    <d v="2024-11-12T00:00:00"/>
    <n v="2"/>
    <m/>
    <n v="0"/>
    <n v="50000"/>
    <x v="0"/>
    <d v="2023-11-22T00:00:00"/>
    <n v="12600.000000000002"/>
    <n v="1"/>
    <n v="12600.000000000002"/>
    <s v="Chris"/>
    <s v="Approved"/>
    <s v="No"/>
    <m/>
  </r>
  <r>
    <s v="Box 5000 Full 2.0"/>
    <s v="MODI"/>
    <s v="Heater top cover"/>
    <n v="130040670023445"/>
    <s v="TK"/>
    <n v="2023"/>
    <n v="11"/>
    <s v="POC"/>
    <d v="2024-11-12T00:00:00"/>
    <n v="2"/>
    <m/>
    <n v="0"/>
    <n v="50000"/>
    <x v="0"/>
    <d v="2023-11-22T00:00:00"/>
    <n v="11279.646017699117"/>
    <n v="1"/>
    <n v="11279.646017699117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2"/>
    <m/>
    <n v="0"/>
    <n v="50000"/>
    <x v="0"/>
    <d v="2023-12-07T00:00:00"/>
    <n v="5911.5044247787619"/>
    <n v="1"/>
    <n v="5911.5044247787619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48"/>
    <n v="2490280"/>
    <n v="2490280"/>
    <n v="1000000"/>
    <x v="1"/>
    <d v="2023-12-07T00:00:00"/>
    <n v="8460.1769911504434"/>
    <n v="1"/>
    <n v="8460.1769911504434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2"/>
    <m/>
    <n v="0"/>
    <n v="50000"/>
    <x v="0"/>
    <d v="2023-12-11T00:00:00"/>
    <n v="5575.2212389380538"/>
    <n v="1"/>
    <n v="5575.2212389380538"/>
    <s v="Chris"/>
    <s v="Approved"/>
    <s v="No"/>
    <m/>
  </r>
  <r>
    <s v="Box 800 Full 2.0"/>
    <s v="MODI"/>
    <s v="Inner bracket"/>
    <n v="130040670023899"/>
    <s v="TK"/>
    <n v="2023"/>
    <n v="12"/>
    <s v="POC"/>
    <d v="2024-11-12T00:00:00"/>
    <n v="2"/>
    <m/>
    <n v="0"/>
    <n v="50000"/>
    <x v="0"/>
    <d v="2023-12-12T00:00:00"/>
    <n v="1061.9469026548672"/>
    <n v="1"/>
    <n v="1061.9469026548672"/>
    <s v="Chris"/>
    <s v="Approved"/>
    <s v="No"/>
    <m/>
  </r>
  <r>
    <s v="Box 800 Full 2.0"/>
    <s v="MODI"/>
    <s v="PCB BRACKET"/>
    <n v="130040670023906"/>
    <s v="TK"/>
    <n v="2023"/>
    <n v="12"/>
    <s v="POC"/>
    <d v="2024-11-12T00:00:00"/>
    <n v="2"/>
    <m/>
    <n v="0"/>
    <n v="50000"/>
    <x v="0"/>
    <d v="2023-12-12T00:00:00"/>
    <n v="2477.8761061946907"/>
    <n v="1"/>
    <n v="2477.8761061946907"/>
    <s v="Chris"/>
    <s v="Approved"/>
    <s v="No"/>
    <m/>
  </r>
  <r>
    <s v="Box 800 Full 2.0"/>
    <s v="MODI"/>
    <s v="Bottom cover"/>
    <n v="130040670023900"/>
    <s v="TK"/>
    <n v="2023"/>
    <n v="12"/>
    <s v="POC"/>
    <d v="2024-11-12T00:00:00"/>
    <n v="2"/>
    <m/>
    <n v="0"/>
    <n v="50000"/>
    <x v="0"/>
    <d v="2023-12-12T00:00:00"/>
    <n v="3097.3451327433631"/>
    <n v="1"/>
    <n v="3097.3451327433631"/>
    <s v="Chris"/>
    <s v="Approved"/>
    <s v="No"/>
    <m/>
  </r>
  <r>
    <s v="Box 800 Full 2.0"/>
    <s v="MODI"/>
    <s v="Battery top cover"/>
    <n v="130040670039455"/>
    <s v="TK"/>
    <n v="2023"/>
    <n v="12"/>
    <s v="POC"/>
    <d v="2024-11-12T00:00:00"/>
    <n v="2"/>
    <m/>
    <n v="0"/>
    <n v="50000"/>
    <x v="0"/>
    <d v="2023-12-12T00:00:00"/>
    <n v="9889.3805309734526"/>
    <n v="1"/>
    <n v="9889.3805309734526"/>
    <s v="Chris"/>
    <s v="Approved"/>
    <s v="No"/>
    <m/>
  </r>
  <r>
    <s v="Box 800 Full 2.0"/>
    <s v="MODI"/>
    <s v="Battery bottom cover"/>
    <n v="130040670039442"/>
    <s v="TK"/>
    <n v="2023"/>
    <n v="12"/>
    <s v="POC"/>
    <d v="2024-11-12T00:00:00"/>
    <n v="2"/>
    <m/>
    <n v="0"/>
    <n v="50000"/>
    <x v="0"/>
    <d v="2023-12-12T00:00:00"/>
    <n v="9889.3805309734526"/>
    <n v="1"/>
    <n v="9889.3805309734526"/>
    <s v="Chris"/>
    <s v="Approved"/>
    <s v="No"/>
    <m/>
  </r>
  <r>
    <s v="Box 5000 Full 2.0"/>
    <s v="MODI"/>
    <s v="PCBA Bracket"/>
    <n v="130040670024534"/>
    <s v="TK"/>
    <n v="2023"/>
    <n v="12"/>
    <s v="POC"/>
    <d v="2024-11-12T00:00:00"/>
    <n v="2"/>
    <m/>
    <n v="0"/>
    <n v="50000"/>
    <x v="0"/>
    <d v="2023-12-12T00:00:00"/>
    <n v="6750.4424778761068"/>
    <n v="1"/>
    <n v="6750.4424778761068"/>
    <s v="Chris"/>
    <s v="Approved"/>
    <s v="No"/>
    <m/>
  </r>
  <r>
    <s v="Box 5000 Full 2.0"/>
    <s v="MODI"/>
    <s v="Inner bracket"/>
    <n v="130040670023440"/>
    <s v="TK"/>
    <n v="2023"/>
    <n v="12"/>
    <s v="POC"/>
    <d v="2024-11-12T00:00:00"/>
    <n v="2"/>
    <m/>
    <n v="0"/>
    <n v="50000"/>
    <x v="0"/>
    <d v="2023-12-12T00:00:00"/>
    <n v="5575.2212389380538"/>
    <n v="1"/>
    <n v="5575.2212389380538"/>
    <s v="Chris"/>
    <s v="Approved"/>
    <s v="No"/>
    <m/>
  </r>
  <r>
    <s v="Box 800 Default 2.0"/>
    <s v="MODI"/>
    <s v="Heating holder"/>
    <n v="130040670018930"/>
    <s v="TK"/>
    <n v="2023"/>
    <n v="12"/>
    <s v="POC"/>
    <d v="2024-11-12T00:00:00"/>
    <n v="48"/>
    <n v="2490280"/>
    <n v="2490280"/>
    <n v="1000000"/>
    <x v="1"/>
    <d v="2023-12-15T00:00:00"/>
    <n v="79969.911504424788"/>
    <n v="1"/>
    <n v="79969.911504424788"/>
    <s v="Chris"/>
    <s v="Approved"/>
    <s v="No"/>
    <m/>
  </r>
  <r>
    <s v="Box 800 Full 2.0"/>
    <s v="MODI"/>
    <s v="PCB BRACKET"/>
    <n v="130040670023906"/>
    <s v="TK"/>
    <n v="2023"/>
    <n v="12"/>
    <s v="POC"/>
    <d v="2024-11-12T00:00:00"/>
    <n v="2"/>
    <m/>
    <n v="0"/>
    <n v="50000"/>
    <x v="0"/>
    <d v="2023-12-18T00:00:00"/>
    <n v="4601.7699115044252"/>
    <n v="1"/>
    <n v="4601.7699115044252"/>
    <s v="Chris"/>
    <s v="Approved"/>
    <s v="No"/>
    <m/>
  </r>
  <r>
    <s v="Box 800 Full 2.0"/>
    <s v="MODI"/>
    <s v="Inner bracket"/>
    <n v="130040670023899"/>
    <s v="TK"/>
    <n v="2023"/>
    <n v="12"/>
    <s v="POC"/>
    <d v="2024-11-12T00:00:00"/>
    <n v="2"/>
    <m/>
    <n v="0"/>
    <n v="50000"/>
    <x v="0"/>
    <d v="2023-12-18T00:00:00"/>
    <n v="3362.8318584070798"/>
    <n v="1"/>
    <n v="3362.8318584070798"/>
    <s v="Chris"/>
    <s v="Approved"/>
    <s v="No"/>
    <m/>
  </r>
  <r>
    <s v="Box 800 Full 2.0"/>
    <s v="MODI"/>
    <s v="Bottom cover"/>
    <n v="130040670023900"/>
    <s v="TK"/>
    <n v="2023"/>
    <n v="12"/>
    <s v="POC"/>
    <d v="2024-11-12T00:00:00"/>
    <n v="2"/>
    <m/>
    <n v="0"/>
    <n v="50000"/>
    <x v="0"/>
    <d v="2023-12-18T00:00:00"/>
    <n v="2212.3893805309735"/>
    <n v="1"/>
    <n v="2212.3893805309735"/>
    <s v="Chris"/>
    <s v="Approved"/>
    <s v="No"/>
    <m/>
  </r>
  <r>
    <s v="Box 5000 Full 2.0"/>
    <s v="MODI"/>
    <s v="Bottom cover"/>
    <n v="130040670023442"/>
    <s v="TK"/>
    <n v="2023"/>
    <n v="12"/>
    <s v="POC"/>
    <d v="2024-11-12T00:00:00"/>
    <n v="2"/>
    <m/>
    <n v="0"/>
    <n v="50000"/>
    <x v="0"/>
    <d v="2023-12-26T00:00:00"/>
    <n v="6017.6991150442482"/>
    <n v="1"/>
    <n v="6017.6991150442482"/>
    <s v="Chris"/>
    <s v="Approved"/>
    <s v="No"/>
    <m/>
  </r>
  <r>
    <s v="Box 5000 Full 2.0"/>
    <s v="MODI"/>
    <s v="Inner bracket"/>
    <n v="130040670023440"/>
    <s v="TK"/>
    <n v="2023"/>
    <n v="12"/>
    <s v="POC"/>
    <d v="2024-11-12T00:00:00"/>
    <n v="2"/>
    <m/>
    <n v="0"/>
    <n v="50000"/>
    <x v="0"/>
    <d v="2023-12-26T00:00:00"/>
    <n v="18584.070796460179"/>
    <n v="1"/>
    <n v="18584.070796460179"/>
    <s v="Chris"/>
    <s v="Approved"/>
    <s v="No"/>
    <m/>
  </r>
  <r>
    <s v="Box 5000 Full 2.0"/>
    <s v="MODI"/>
    <s v="Cartridge tank"/>
    <n v="130040670023444"/>
    <s v="TK"/>
    <n v="2023"/>
    <n v="12"/>
    <s v="POC"/>
    <d v="2024-11-12T00:00:00"/>
    <n v="2"/>
    <m/>
    <n v="0"/>
    <n v="50000"/>
    <x v="0"/>
    <d v="2023-12-26T00:00:00"/>
    <n v="1327.4336283185842"/>
    <n v="1"/>
    <n v="1327.4336283185842"/>
    <s v="Chris"/>
    <s v="Approved"/>
    <s v="No"/>
    <m/>
  </r>
  <r>
    <s v="Box 5000 Full 2.0"/>
    <s v="MODI"/>
    <s v="Heating holder"/>
    <n v="130040670023448"/>
    <s v="TK"/>
    <n v="2023"/>
    <n v="12"/>
    <s v="POC"/>
    <d v="2024-11-12T00:00:00"/>
    <n v="2"/>
    <m/>
    <n v="0"/>
    <n v="50000"/>
    <x v="0"/>
    <d v="2023-12-26T00:00:00"/>
    <n v="23893.805309734515"/>
    <n v="1"/>
    <n v="23893.805309734515"/>
    <s v="Chris"/>
    <s v="Approved"/>
    <s v="No"/>
    <m/>
  </r>
  <r>
    <s v="Box 5000 Full 2.0"/>
    <s v="MODI"/>
    <s v=" Plastic plug"/>
    <n v="130040670023443"/>
    <s v="TK"/>
    <n v="2023"/>
    <n v="12"/>
    <s v="POC"/>
    <d v="2024-11-12T00:00:00"/>
    <n v="2"/>
    <m/>
    <n v="0"/>
    <n v="50000"/>
    <x v="0"/>
    <d v="2023-12-26T00:00:00"/>
    <n v="15601.769911504427"/>
    <n v="1"/>
    <n v="15601.769911504427"/>
    <s v="Chris"/>
    <s v="Approved"/>
    <s v="No"/>
    <m/>
  </r>
  <r>
    <s v="Box 800 Default 2.0"/>
    <s v="MODI"/>
    <s v="Bottom cover"/>
    <n v="130040670018919"/>
    <s v="TK"/>
    <n v="2023"/>
    <n v="12"/>
    <s v="POC"/>
    <d v="2024-11-12T00:00:00"/>
    <n v="2"/>
    <m/>
    <n v="0"/>
    <n v="50000"/>
    <x v="0"/>
    <d v="2023-12-26T00:00:00"/>
    <n v="21238.938053097347"/>
    <n v="1"/>
    <n v="21238.938053097347"/>
    <s v="Chris"/>
    <s v="Approved"/>
    <s v="No"/>
    <m/>
  </r>
  <r>
    <s v="Box 800 Default 2.0"/>
    <s v="MODI"/>
    <s v="Cartridge tank"/>
    <n v="130040670018928"/>
    <s v="TK"/>
    <n v="2023"/>
    <n v="12"/>
    <s v="POC"/>
    <d v="2024-11-12T00:00:00"/>
    <n v="2"/>
    <m/>
    <n v="0"/>
    <n v="50000"/>
    <x v="0"/>
    <d v="2023-12-28T00:00:00"/>
    <n v="6807.9646017699124"/>
    <n v="1"/>
    <n v="6807.9646017699124"/>
    <s v="Chris"/>
    <s v="Approved"/>
    <s v="No"/>
    <m/>
  </r>
  <r>
    <s v="Box 800 Full 2.0"/>
    <s v="MODI"/>
    <s v="Cartridge tank"/>
    <n v="130040670018928"/>
    <s v="TK"/>
    <n v="2023"/>
    <n v="10"/>
    <s v="POC"/>
    <d v="2024-11-12T00:00:00"/>
    <n v="2"/>
    <m/>
    <n v="0"/>
    <n v="50000"/>
    <x v="2"/>
    <d v="2023-09-27T00:00:00"/>
    <n v="134000"/>
    <n v="1"/>
    <n v="134000"/>
    <s v="Kevin"/>
    <s v="Approved"/>
    <s v="No"/>
    <m/>
  </r>
  <r>
    <s v="Box 800 Full 2.0"/>
    <s v="MODI"/>
    <s v="Heater top cover"/>
    <n v="130040670018929"/>
    <s v="TK"/>
    <n v="2023"/>
    <n v="10"/>
    <s v="POC"/>
    <d v="2024-11-12T00:00:00"/>
    <n v="2"/>
    <m/>
    <n v="0"/>
    <n v="50000"/>
    <x v="2"/>
    <d v="2023-09-27T00:00:00"/>
    <n v="89000.000000000015"/>
    <n v="1"/>
    <n v="89000.000000000015"/>
    <s v="Kevin"/>
    <s v="Approved"/>
    <s v="No"/>
    <m/>
  </r>
  <r>
    <s v="Box 800 Full 2.0"/>
    <s v="MODI"/>
    <s v="Heating holder"/>
    <n v="130040670018930"/>
    <s v="TK"/>
    <n v="2023"/>
    <n v="10"/>
    <s v="POC"/>
    <d v="2024-11-12T00:00:00"/>
    <n v="2"/>
    <m/>
    <n v="0"/>
    <n v="50000"/>
    <x v="2"/>
    <d v="2023-09-27T00:00:00"/>
    <n v="89000.000000000015"/>
    <n v="1"/>
    <n v="89000.000000000015"/>
    <s v="Kevin"/>
    <s v="Approved"/>
    <s v="No"/>
    <m/>
  </r>
  <r>
    <s v="Box 800 Full 2.0"/>
    <s v="MODI"/>
    <s v="Inner bracket"/>
    <n v="130040670023899"/>
    <s v="TK"/>
    <n v="2023"/>
    <n v="9"/>
    <s v="POC"/>
    <d v="2024-11-12T00:00:00"/>
    <n v="2"/>
    <m/>
    <n v="0"/>
    <n v="50000"/>
    <x v="2"/>
    <d v="2023-09-27T00:00:00"/>
    <n v="108000.00000000001"/>
    <n v="1"/>
    <n v="108000.00000000001"/>
    <s v="Kevin"/>
    <s v="Approved"/>
    <s v="No"/>
    <m/>
  </r>
  <r>
    <s v="Box 800 Full 2.0"/>
    <s v="MODI"/>
    <s v="Bottom cover"/>
    <n v="130040670023900"/>
    <s v="TK"/>
    <n v="2023"/>
    <n v="9"/>
    <s v="POC"/>
    <d v="2024-11-12T00:00:00"/>
    <n v="2"/>
    <m/>
    <n v="0"/>
    <n v="50000"/>
    <x v="2"/>
    <d v="2023-09-27T00:00:00"/>
    <n v="99000.000000000015"/>
    <n v="1"/>
    <n v="99000.000000000015"/>
    <s v="Kevin"/>
    <s v="Approved"/>
    <s v="No"/>
    <m/>
  </r>
  <r>
    <s v="Box 800 Full 2.0"/>
    <s v="MODI"/>
    <s v="PCB BRACKET"/>
    <n v="130040670023906"/>
    <s v="TK"/>
    <n v="2023"/>
    <n v="9"/>
    <s v="POC"/>
    <d v="2024-11-12T00:00:00"/>
    <n v="2"/>
    <m/>
    <n v="0"/>
    <n v="50000"/>
    <x v="2"/>
    <d v="2023-09-27T00:00:00"/>
    <n v="70000"/>
    <n v="1"/>
    <n v="70000"/>
    <s v="Kevin"/>
    <s v="Approved"/>
    <s v="No"/>
    <m/>
  </r>
  <r>
    <s v="Box 800 Full 2.0"/>
    <s v="MODI"/>
    <s v="Battery top cover"/>
    <n v="130040670039455"/>
    <s v="TK"/>
    <n v="2023"/>
    <n v="9"/>
    <s v="POC"/>
    <d v="2024-11-12T00:00:00"/>
    <n v="2"/>
    <m/>
    <n v="0"/>
    <n v="50000"/>
    <x v="2"/>
    <d v="2023-09-27T00:00:00"/>
    <n v="65000.000000000007"/>
    <n v="1"/>
    <n v="65000.000000000007"/>
    <s v="Kevin"/>
    <s v="Approved"/>
    <s v="No"/>
    <m/>
  </r>
  <r>
    <s v="Box 800 Full 2.0"/>
    <s v="MODI"/>
    <s v="Battery bottom cover"/>
    <n v="130040670039442"/>
    <s v="TK"/>
    <n v="2023"/>
    <n v="9"/>
    <s v="POC"/>
    <d v="2024-11-12T00:00:00"/>
    <n v="2"/>
    <m/>
    <n v="0"/>
    <n v="50000"/>
    <x v="2"/>
    <d v="2023-09-27T00:00:00"/>
    <n v="65000.000000000007"/>
    <n v="1"/>
    <n v="65000.000000000007"/>
    <s v="Kevin"/>
    <s v="Approved"/>
    <s v="No"/>
    <m/>
  </r>
  <r>
    <s v="Box 5000 Full 2.0"/>
    <s v="MODI"/>
    <s v="Cartridge tank"/>
    <n v="130040670023444"/>
    <s v="TK"/>
    <n v="2023"/>
    <n v="10"/>
    <s v="POC"/>
    <d v="2024-11-12T00:00:00"/>
    <n v="2"/>
    <m/>
    <n v="0"/>
    <n v="50000"/>
    <x v="2"/>
    <d v="2023-10-31T00:00:00"/>
    <n v="187000.00000000003"/>
    <n v="1"/>
    <n v="187000.00000000003"/>
    <s v="Kevin"/>
    <s v="Approved"/>
    <s v="No"/>
    <m/>
  </r>
  <r>
    <s v="Box 5000 Full 2.0"/>
    <s v="MODI"/>
    <s v=" Plastic plug"/>
    <n v="130040670023443"/>
    <s v="TK"/>
    <n v="2023"/>
    <n v="10"/>
    <s v="POC"/>
    <d v="2024-11-12T00:00:00"/>
    <n v="2"/>
    <m/>
    <n v="0"/>
    <n v="50000"/>
    <x v="2"/>
    <d v="2023-10-31T00:00:00"/>
    <n v="75000"/>
    <n v="1"/>
    <n v="75000"/>
    <s v="Kevin"/>
    <s v="Approved"/>
    <s v="No"/>
    <m/>
  </r>
  <r>
    <s v="Box 5000 Full 2.0"/>
    <s v="MODI"/>
    <s v="Bottom cover"/>
    <n v="130040670023442"/>
    <s v="TK"/>
    <n v="2023"/>
    <n v="10"/>
    <s v="POC"/>
    <d v="2024-11-12T00:00:00"/>
    <n v="2"/>
    <m/>
    <n v="0"/>
    <n v="50000"/>
    <x v="2"/>
    <d v="2023-10-31T00:00:00"/>
    <n v="98000.000000000015"/>
    <n v="1"/>
    <n v="98000.000000000015"/>
    <s v="Kevin"/>
    <s v="Approved"/>
    <s v="No"/>
    <m/>
  </r>
  <r>
    <s v="Box 5000 Full 2.0"/>
    <s v="MODI"/>
    <s v="Heater top cover"/>
    <n v="130040670023445"/>
    <s v="TK"/>
    <n v="2023"/>
    <n v="10"/>
    <s v="POC"/>
    <d v="2024-11-12T00:00:00"/>
    <n v="2"/>
    <m/>
    <n v="0"/>
    <n v="50000"/>
    <x v="2"/>
    <d v="2023-10-31T00:00:00"/>
    <n v="89000.000000000015"/>
    <n v="1"/>
    <n v="89000.000000000015"/>
    <s v="Kevin"/>
    <s v="Approved"/>
    <s v="No"/>
    <m/>
  </r>
  <r>
    <s v="Box 5000 Full 2.0"/>
    <s v="MODI"/>
    <s v="Heating holder"/>
    <n v="130040670023448"/>
    <s v="TK"/>
    <n v="2023"/>
    <n v="10"/>
    <s v="POC"/>
    <d v="2024-11-12T00:00:00"/>
    <n v="2"/>
    <m/>
    <n v="0"/>
    <n v="50000"/>
    <x v="2"/>
    <d v="2023-10-31T00:00:00"/>
    <n v="89000.000000000015"/>
    <n v="1"/>
    <n v="89000.000000000015"/>
    <s v="Kevin"/>
    <s v="Approved"/>
    <s v="No"/>
    <m/>
  </r>
  <r>
    <s v="Box 5000 Full 2.0"/>
    <s v="MODI"/>
    <s v="Inner bracket"/>
    <n v="130040670023440"/>
    <s v="TK"/>
    <n v="2023"/>
    <n v="10"/>
    <s v="POC"/>
    <d v="2024-11-12T00:00:00"/>
    <n v="2"/>
    <m/>
    <n v="0"/>
    <n v="50000"/>
    <x v="2"/>
    <d v="2023-10-31T00:00:00"/>
    <n v="103000.00000000001"/>
    <n v="1"/>
    <n v="103000.00000000001"/>
    <s v="Kevin"/>
    <s v="Approved"/>
    <s v="No"/>
    <m/>
  </r>
  <r>
    <s v="Box 5000 Full 2.0"/>
    <s v="MODI"/>
    <s v="PCBA Bracket"/>
    <n v="130040670024534"/>
    <s v="TK"/>
    <n v="2023"/>
    <n v="10"/>
    <s v="POC"/>
    <d v="2024-11-12T00:00:00"/>
    <n v="2"/>
    <m/>
    <n v="0"/>
    <n v="50000"/>
    <x v="2"/>
    <d v="2023-10-31T00:00:00"/>
    <n v="70000"/>
    <n v="1"/>
    <n v="70000"/>
    <s v="Kevin"/>
    <s v="Approved"/>
    <s v="No"/>
    <m/>
  </r>
  <r>
    <s v="Box 8000 Full 2.0"/>
    <s v="MODI"/>
    <s v=" Plastic plug"/>
    <n v="130040670043029"/>
    <s v="TK"/>
    <n v="2023"/>
    <n v="12"/>
    <s v="POC"/>
    <d v="2024-11-12T00:00:00"/>
    <n v="2"/>
    <m/>
    <n v="0"/>
    <n v="50000"/>
    <x v="2"/>
    <d v="2023-12-29T00:00:00"/>
    <n v="65000.000000000007"/>
    <n v="1"/>
    <n v="65000.000000000007"/>
    <s v="Kevin"/>
    <s v="Approved"/>
    <s v="No"/>
    <m/>
  </r>
  <r>
    <s v="Artemis 2P"/>
    <s v="HP"/>
    <s v="SLIDE_COVER"/>
    <n v="620202001"/>
    <s v="TK"/>
    <n v="2023"/>
    <n v="6"/>
    <s v="POA"/>
    <d v="2024-11-12T00:00:00"/>
    <n v="16"/>
    <n v="962520"/>
    <n v="962520"/>
    <n v="1000000"/>
    <x v="3"/>
    <d v="2023-06-10T00:00:00"/>
    <n v="368600"/>
    <n v="1"/>
    <n v="368600"/>
    <s v="Chris"/>
    <s v="Approved"/>
    <s v="No"/>
    <m/>
  </r>
  <r>
    <s v="Artemis 2P"/>
    <s v="HP"/>
    <s v="BOTTOM_COVER_CHARGER"/>
    <n v="620202009"/>
    <s v="TK"/>
    <n v="2023"/>
    <n v="6"/>
    <s v="POA"/>
    <d v="2024-11-12T00:00:00"/>
    <n v="16"/>
    <n v="877760"/>
    <n v="877760"/>
    <n v="1000000"/>
    <x v="3"/>
    <d v="2023-06-10T00:00:00"/>
    <n v="404300"/>
    <n v="1"/>
    <n v="404300"/>
    <s v="Chris"/>
    <s v="Approved"/>
    <s v="No"/>
    <m/>
  </r>
  <r>
    <s v="Artemis 2P"/>
    <s v="HP"/>
    <s v="MAIN_CHASISS_CHARGER"/>
    <n v="620202004"/>
    <s v="TK"/>
    <n v="2023"/>
    <n v="6"/>
    <s v="POA"/>
    <d v="2024-11-12T00:00:00"/>
    <n v="4"/>
    <n v="202800"/>
    <n v="202800"/>
    <n v="1000000"/>
    <x v="3"/>
    <d v="2023-06-10T00:00:00"/>
    <n v="290850"/>
    <n v="1"/>
    <n v="290850"/>
    <s v="Chris"/>
    <s v="Approved"/>
    <s v="No"/>
    <m/>
  </r>
  <r>
    <s v="Artemis 2P"/>
    <s v="HP"/>
    <s v="HEATING_CHAMBER"/>
    <n v="610202008"/>
    <s v="TK"/>
    <n v="2023"/>
    <n v="6"/>
    <s v="POA"/>
    <d v="2024-11-12T00:00:00"/>
    <s v="8+8"/>
    <n v="92040"/>
    <n v="92040"/>
    <n v="1000000"/>
    <x v="3"/>
    <d v="2023-06-10T00:00:00"/>
    <n v="579000"/>
    <n v="1"/>
    <n v="579000"/>
    <s v="Chris"/>
    <s v="Approved"/>
    <s v="No"/>
    <m/>
  </r>
  <r>
    <s v="Artemis 2P"/>
    <s v="HP"/>
    <s v="BUTTON"/>
    <n v="610202015"/>
    <s v="TK"/>
    <n v="2023"/>
    <n v="6"/>
    <s v="POA"/>
    <d v="2024-11-12T00:00:00"/>
    <s v="8+8"/>
    <n v="198640"/>
    <n v="198640"/>
    <n v="1000000"/>
    <x v="3"/>
    <d v="2023-06-10T00:00:00"/>
    <n v="291900"/>
    <n v="1"/>
    <n v="291900"/>
    <s v="Chris"/>
    <s v="Approved"/>
    <s v="No"/>
    <m/>
  </r>
  <r>
    <s v="Artemis 2P"/>
    <s v="HP"/>
    <s v="MAGNET_COVER"/>
    <n v="610202026"/>
    <s v="TK"/>
    <n v="2023"/>
    <n v="6"/>
    <s v="POA"/>
    <d v="2024-11-12T00:00:00"/>
    <n v="16"/>
    <n v="329160"/>
    <n v="329160"/>
    <n v="1000000"/>
    <x v="3"/>
    <d v="2023-06-10T00:00:00"/>
    <n v="257400"/>
    <n v="1"/>
    <n v="257400"/>
    <s v="Chris"/>
    <s v="Approved"/>
    <s v="No"/>
    <m/>
  </r>
  <r>
    <s v="Artemis 2P"/>
    <s v="HP"/>
    <s v="MAIN_CHASISS_PEN"/>
    <n v="610202005"/>
    <s v="TK"/>
    <n v="2023"/>
    <n v="6"/>
    <s v="POA"/>
    <d v="2024-11-12T00:00:00"/>
    <n v="4"/>
    <n v="112840"/>
    <n v="112840"/>
    <n v="1000000"/>
    <x v="3"/>
    <d v="2023-06-10T00:00:00"/>
    <n v="516000"/>
    <n v="1"/>
    <n v="516000"/>
    <s v="Chris"/>
    <s v="Approved"/>
    <s v="No"/>
    <m/>
  </r>
  <r>
    <s v="Artemis 2P"/>
    <s v="HP"/>
    <s v="BOTTOM_COVER"/>
    <n v="610202018"/>
    <s v="TK"/>
    <n v="2023"/>
    <n v="6"/>
    <s v="POA"/>
    <d v="2024-11-12T00:00:00"/>
    <n v="16"/>
    <n v="360360"/>
    <n v="360360"/>
    <n v="1000000"/>
    <x v="3"/>
    <d v="2023-06-10T00:00:00"/>
    <n v="395000"/>
    <n v="1"/>
    <n v="395000"/>
    <s v="Chris"/>
    <s v="Approved"/>
    <s v="No"/>
    <m/>
  </r>
  <r>
    <s v="Artemis 2P"/>
    <s v="HP"/>
    <s v="PCB_BRACKET"/>
    <n v="610202016"/>
    <s v="TK"/>
    <n v="2023"/>
    <n v="6"/>
    <s v="POA"/>
    <d v="2024-11-12T00:00:00"/>
    <n v="16"/>
    <n v="968240"/>
    <n v="968240"/>
    <n v="1000000"/>
    <x v="3"/>
    <d v="2023-06-10T00:00:00"/>
    <n v="272800"/>
    <n v="1"/>
    <n v="272800"/>
    <s v="Chris"/>
    <s v="Approved"/>
    <s v="No"/>
    <m/>
  </r>
  <r>
    <s v="Artemis 2P"/>
    <s v="HP"/>
    <s v="LIGHT_SHIELD_BRACKET"/>
    <n v="610202027"/>
    <s v="TK"/>
    <n v="2023"/>
    <n v="6"/>
    <s v="POA"/>
    <d v="2024-11-12T00:00:00"/>
    <s v="8+8"/>
    <n v="384280"/>
    <n v="384280"/>
    <n v="1000000"/>
    <x v="3"/>
    <d v="2023-06-10T00:00:00"/>
    <n v="304700"/>
    <n v="1"/>
    <n v="304700"/>
    <s v="Chris"/>
    <s v="Approved"/>
    <s v="No"/>
    <m/>
  </r>
  <r>
    <s v="Artemis 2P"/>
    <s v="HP"/>
    <s v="STICK_RETAINER"/>
    <n v="610202021"/>
    <s v="TK"/>
    <n v="2023"/>
    <n v="6"/>
    <s v="POA"/>
    <d v="2024-11-12T00:00:00"/>
    <n v="16"/>
    <n v="968240"/>
    <n v="968240"/>
    <n v="1000000"/>
    <x v="3"/>
    <d v="2023-06-10T00:00:00"/>
    <n v="282700"/>
    <n v="1"/>
    <n v="282700"/>
    <s v="Chris"/>
    <s v="Approved"/>
    <s v="No"/>
    <m/>
  </r>
  <r>
    <s v="Artemis 2P"/>
    <s v="HP"/>
    <s v="EXTRACTOR"/>
    <n v="610202032"/>
    <s v="TK"/>
    <n v="2023"/>
    <n v="6"/>
    <s v="POA"/>
    <d v="2024-11-12T00:00:00"/>
    <n v="8"/>
    <n v="296400"/>
    <n v="296400"/>
    <n v="1000000"/>
    <x v="3"/>
    <d v="2023-06-10T00:00:00"/>
    <n v="421300"/>
    <n v="1"/>
    <n v="421300"/>
    <s v="Chris"/>
    <s v="Approved"/>
    <s v="No"/>
    <m/>
  </r>
  <r>
    <s v="Artemis 2P"/>
    <s v="HP"/>
    <s v="SLIDE_COVER"/>
    <n v="620202001"/>
    <s v="TK"/>
    <n v="2023"/>
    <n v="4"/>
    <s v="POC"/>
    <d v="2024-11-12T00:00:00"/>
    <n v="2"/>
    <n v="962520"/>
    <n v="962520"/>
    <n v="50000"/>
    <x v="2"/>
    <d v="2023-04-06T00:00:00"/>
    <n v="64050"/>
    <n v="1"/>
    <n v="64050"/>
    <s v="Chris"/>
    <s v="Approved"/>
    <s v="No"/>
    <m/>
  </r>
  <r>
    <s v="Artemis 2P"/>
    <s v="HP"/>
    <s v="MAIN_CHASISS_CHARGER"/>
    <n v="620202004"/>
    <s v="TK"/>
    <n v="2023"/>
    <n v="4"/>
    <s v="POC"/>
    <d v="2024-11-12T00:00:00"/>
    <n v="2"/>
    <n v="202800"/>
    <n v="202800"/>
    <n v="50000"/>
    <x v="2"/>
    <d v="2023-04-06T00:00:00"/>
    <n v="40280"/>
    <n v="1"/>
    <n v="40280"/>
    <s v="Chris"/>
    <s v="Approved"/>
    <s v="No"/>
    <m/>
  </r>
  <r>
    <s v="Artemis 2P"/>
    <s v="HP"/>
    <s v="EXTRACTOR"/>
    <n v="610202032"/>
    <s v="TK"/>
    <n v="2023"/>
    <n v="4"/>
    <s v="POC"/>
    <d v="2024-11-12T00:00:00"/>
    <n v="2"/>
    <n v="296400"/>
    <n v="296400"/>
    <n v="50000"/>
    <x v="2"/>
    <d v="2023-04-06T00:00:00"/>
    <n v="73960"/>
    <n v="1"/>
    <n v="73960"/>
    <s v="Chris"/>
    <s v="Approved"/>
    <s v="No"/>
    <m/>
  </r>
  <r>
    <s v="Artemis 2P"/>
    <s v="HP"/>
    <s v="BOTTOM_COVER"/>
    <n v="610202018"/>
    <s v="TK"/>
    <n v="2023"/>
    <n v="4"/>
    <s v="POC"/>
    <d v="2024-11-12T00:00:00"/>
    <n v="2"/>
    <n v="360360"/>
    <n v="360360"/>
    <n v="50000"/>
    <x v="2"/>
    <d v="2023-04-06T00:00:00"/>
    <n v="27230"/>
    <n v="1"/>
    <n v="27230"/>
    <s v="Chris"/>
    <s v="Approved"/>
    <s v="No"/>
    <m/>
  </r>
  <r>
    <s v="Artemis 2P"/>
    <s v="HP"/>
    <s v="SLIDE_COVER"/>
    <n v="620202001"/>
    <s v="TK"/>
    <n v="2023"/>
    <n v="5"/>
    <s v="POC"/>
    <d v="2024-11-12T00:00:00"/>
    <n v="2"/>
    <n v="962520"/>
    <n v="962520"/>
    <n v="50000"/>
    <x v="2"/>
    <d v="2023-05-02T00:00:00"/>
    <n v="16950"/>
    <n v="1"/>
    <n v="16950"/>
    <s v="Chris"/>
    <s v="Approved"/>
    <s v="No"/>
    <m/>
  </r>
  <r>
    <s v="Artemis 2P"/>
    <s v="HP"/>
    <s v="BOTTOM_COVER"/>
    <n v="610202018"/>
    <s v="TK"/>
    <n v="2023"/>
    <n v="5"/>
    <s v="POC"/>
    <d v="2024-11-12T00:00:00"/>
    <n v="2"/>
    <n v="360360"/>
    <n v="360360"/>
    <n v="50000"/>
    <x v="2"/>
    <d v="2023-05-02T00:00:00"/>
    <n v="4500"/>
    <n v="1"/>
    <n v="4500"/>
    <s v="Chris"/>
    <s v="Approved"/>
    <s v="No"/>
    <m/>
  </r>
  <r>
    <s v="Artemis 2P"/>
    <s v="HP"/>
    <s v="BUTTON"/>
    <n v="610202015"/>
    <s v="TK"/>
    <n v="2023"/>
    <n v="5"/>
    <s v="POC"/>
    <d v="2024-11-12T00:00:00"/>
    <n v="2"/>
    <n v="198640"/>
    <n v="198640"/>
    <n v="50000"/>
    <x v="2"/>
    <d v="2023-05-02T00:00:00"/>
    <n v="4000"/>
    <n v="1"/>
    <n v="4000"/>
    <s v="Chris"/>
    <s v="Approved"/>
    <s v="No"/>
    <m/>
  </r>
  <r>
    <s v="Artemis 2P"/>
    <s v="HP"/>
    <s v="STICK_RETAINER"/>
    <n v="610202021"/>
    <s v="TK"/>
    <n v="2023"/>
    <n v="5"/>
    <s v="POC"/>
    <d v="2024-11-12T00:00:00"/>
    <n v="2"/>
    <n v="968240"/>
    <n v="968240"/>
    <n v="50000"/>
    <x v="2"/>
    <d v="2023-05-02T00:00:00"/>
    <n v="5300"/>
    <n v="1"/>
    <n v="5300"/>
    <s v="Chris"/>
    <s v="Approved"/>
    <s v="No"/>
    <m/>
  </r>
  <r>
    <s v="Artemis 2P"/>
    <s v="HP"/>
    <s v="SLIDE_COVER"/>
    <n v="620202001"/>
    <s v="TK"/>
    <n v="2023"/>
    <n v="6"/>
    <s v="POC"/>
    <d v="2024-11-12T00:00:00"/>
    <n v="2"/>
    <n v="962520"/>
    <n v="962520"/>
    <n v="50000"/>
    <x v="2"/>
    <d v="2023-06-06T00:00:00"/>
    <n v="20400"/>
    <n v="1"/>
    <n v="20400"/>
    <s v="Chris"/>
    <s v="Approved"/>
    <s v="No"/>
    <m/>
  </r>
  <r>
    <s v="Artemis 2P"/>
    <s v="HP"/>
    <s v="BOTTOM_COVER"/>
    <n v="610202018"/>
    <s v="TK"/>
    <n v="2023"/>
    <n v="6"/>
    <s v="POC"/>
    <d v="2024-11-12T00:00:00"/>
    <n v="2"/>
    <n v="360360"/>
    <n v="360360"/>
    <n v="50000"/>
    <x v="2"/>
    <d v="2023-06-27T00:00:00"/>
    <n v="5500"/>
    <n v="1"/>
    <n v="5500"/>
    <s v="Chris"/>
    <s v="Approved"/>
    <s v="No"/>
    <m/>
  </r>
  <r>
    <s v="Artemis 2P"/>
    <s v="HP"/>
    <s v="BUTTON"/>
    <n v="610202015"/>
    <s v="TK"/>
    <n v="2023"/>
    <n v="6"/>
    <s v="POC"/>
    <d v="2024-11-12T00:00:00"/>
    <n v="2"/>
    <n v="198640"/>
    <n v="198640"/>
    <n v="50000"/>
    <x v="2"/>
    <d v="2023-06-30T00:00:00"/>
    <n v="1800"/>
    <n v="1"/>
    <n v="1800"/>
    <s v="Chris"/>
    <s v="Approved"/>
    <s v="No"/>
    <m/>
  </r>
  <r>
    <s v="Artemis 2P"/>
    <s v="HP"/>
    <s v="MAIN_CHASISS_CHARGER"/>
    <n v="620202004"/>
    <s v="TK"/>
    <n v="2023"/>
    <n v="7"/>
    <s v="POA"/>
    <d v="2024-11-12T00:00:00"/>
    <n v="4"/>
    <n v="202800"/>
    <n v="202800"/>
    <n v="1000000"/>
    <x v="1"/>
    <d v="2023-07-19T00:00:00"/>
    <n v="5700"/>
    <n v="1"/>
    <n v="5700"/>
    <s v="Chris"/>
    <s v="Approved"/>
    <s v="No"/>
    <m/>
  </r>
  <r>
    <s v="Artemis 2P"/>
    <s v="HP"/>
    <s v="BUTTON"/>
    <n v="610202015"/>
    <s v="TK"/>
    <n v="2023"/>
    <n v="7"/>
    <s v="POA"/>
    <d v="2024-11-12T00:00:00"/>
    <s v="8+8"/>
    <n v="198640"/>
    <n v="198640"/>
    <n v="1000000"/>
    <x v="1"/>
    <d v="2023-07-19T00:00:00"/>
    <n v="5500"/>
    <n v="1"/>
    <n v="5500"/>
    <s v="Chris"/>
    <s v="Approved"/>
    <s v="No"/>
    <m/>
  </r>
  <r>
    <s v="Artemis 2P"/>
    <s v="HP"/>
    <s v="PCB_BRACKET"/>
    <n v="610202016"/>
    <s v="TK"/>
    <n v="2023"/>
    <n v="7"/>
    <s v="POA"/>
    <d v="2024-11-12T00:00:00"/>
    <n v="16"/>
    <n v="968240"/>
    <n v="968240"/>
    <n v="1000000"/>
    <x v="1"/>
    <d v="2023-07-19T00:00:00"/>
    <n v="11000"/>
    <n v="1"/>
    <n v="11000"/>
    <s v="Chris"/>
    <s v="Approved"/>
    <s v="No"/>
    <m/>
  </r>
  <r>
    <s v="Artemis 2P"/>
    <s v="HP"/>
    <s v="SLIDE_COVER"/>
    <n v="620202001"/>
    <s v="TK"/>
    <n v="2023"/>
    <n v="7"/>
    <s v="POA"/>
    <d v="2024-11-12T00:00:00"/>
    <n v="16"/>
    <n v="962520"/>
    <n v="962520"/>
    <n v="1000000"/>
    <x v="1"/>
    <d v="2023-07-24T00:00:00"/>
    <n v="5800"/>
    <n v="1"/>
    <n v="5800"/>
    <s v="Chris"/>
    <s v="Approved"/>
    <s v="No"/>
    <m/>
  </r>
  <r>
    <s v="Artemis 2P"/>
    <s v="HP"/>
    <s v="BOTTOM_COVER_CHARGER"/>
    <n v="620202009"/>
    <s v="TK"/>
    <n v="2023"/>
    <n v="7"/>
    <s v="POA"/>
    <d v="2024-11-12T00:00:00"/>
    <n v="16"/>
    <n v="877760"/>
    <n v="877760"/>
    <n v="1000000"/>
    <x v="1"/>
    <d v="2023-07-24T00:00:00"/>
    <n v="7800"/>
    <n v="1"/>
    <n v="7800"/>
    <s v="Chris"/>
    <s v="Approved"/>
    <s v="No"/>
    <m/>
  </r>
  <r>
    <s v="Artemis 2P"/>
    <s v="HP"/>
    <s v="HEATING_CHAMBER"/>
    <n v="610202008"/>
    <s v="TK"/>
    <n v="2023"/>
    <n v="8"/>
    <s v="POA"/>
    <d v="2024-11-12T00:00:00"/>
    <s v="8+8"/>
    <n v="92040"/>
    <n v="92040"/>
    <n v="1000000"/>
    <x v="1"/>
    <d v="2023-08-11T00:00:00"/>
    <n v="200010"/>
    <n v="1"/>
    <n v="200010"/>
    <s v="Chris"/>
    <s v="Approved"/>
    <s v="No"/>
    <m/>
  </r>
  <r>
    <s v="Artemis 2P"/>
    <s v="HP"/>
    <s v="HEATING_CHAMBER"/>
    <n v="610202008"/>
    <s v="TK"/>
    <n v="2023"/>
    <n v="8"/>
    <s v="POA"/>
    <d v="2024-11-12T00:00:00"/>
    <s v="8+8"/>
    <n v="92040"/>
    <n v="92040"/>
    <n v="1000000"/>
    <x v="1"/>
    <d v="2023-08-11T00:00:00"/>
    <n v="81000"/>
    <n v="1"/>
    <n v="81000"/>
    <s v="Chris"/>
    <s v="Approved"/>
    <s v="No"/>
    <m/>
  </r>
  <r>
    <s v="Artemis 2P"/>
    <s v="HP"/>
    <s v="MAIN_CHASISS_PEN"/>
    <n v="610202005"/>
    <s v="TK"/>
    <n v="2023"/>
    <n v="8"/>
    <s v="POA"/>
    <d v="2024-11-12T00:00:00"/>
    <n v="4"/>
    <n v="112840"/>
    <n v="112840"/>
    <n v="1000000"/>
    <x v="1"/>
    <d v="2023-08-14T00:00:00"/>
    <n v="17280"/>
    <n v="1"/>
    <n v="17280"/>
    <s v="Chris"/>
    <s v="Approved"/>
    <s v="No"/>
    <m/>
  </r>
  <r>
    <s v="Artemis 2P"/>
    <s v="HP"/>
    <s v="EXTRACTOR"/>
    <n v="610202032"/>
    <s v="TK"/>
    <n v="2023"/>
    <n v="8"/>
    <s v="POA"/>
    <d v="2024-11-12T00:00:00"/>
    <n v="8"/>
    <n v="296400"/>
    <n v="296400"/>
    <n v="1000000"/>
    <x v="1"/>
    <d v="2023-08-14T00:00:00"/>
    <n v="19640"/>
    <n v="1"/>
    <n v="19640"/>
    <s v="Chris"/>
    <s v="Approved"/>
    <s v="No"/>
    <m/>
  </r>
  <r>
    <s v="Artemis 2P"/>
    <s v="HP"/>
    <s v="EXTRACTOR"/>
    <n v="610202032"/>
    <s v="TK"/>
    <n v="2023"/>
    <n v="8"/>
    <s v="POA"/>
    <d v="2024-11-12T00:00:00"/>
    <n v="8"/>
    <n v="296400"/>
    <n v="296400"/>
    <n v="1000000"/>
    <x v="1"/>
    <d v="2023-08-16T00:00:00"/>
    <n v="39000"/>
    <n v="1"/>
    <n v="39000"/>
    <s v="Chris"/>
    <s v="Approved"/>
    <s v="No"/>
    <m/>
  </r>
  <r>
    <s v="Artemis 2P"/>
    <s v="HP"/>
    <s v="LIGHT_SHIELD_BRACKET"/>
    <n v="610202027"/>
    <s v="TK"/>
    <n v="2023"/>
    <n v="8"/>
    <s v="POA"/>
    <d v="2024-11-12T00:00:00"/>
    <s v="8+8"/>
    <n v="384280"/>
    <n v="384280"/>
    <n v="1000000"/>
    <x v="1"/>
    <d v="2023-08-16T00:00:00"/>
    <n v="40646"/>
    <n v="1"/>
    <n v="40646"/>
    <s v="Chris"/>
    <s v="Approved"/>
    <s v="No"/>
    <m/>
  </r>
  <r>
    <s v="Artemis 2P"/>
    <s v="HP"/>
    <s v="STICK_RETAINER"/>
    <n v="610202021"/>
    <s v="TK"/>
    <n v="2023"/>
    <n v="8"/>
    <s v="POA"/>
    <d v="2024-11-12T00:00:00"/>
    <n v="16"/>
    <n v="968240"/>
    <n v="968240"/>
    <n v="1000000"/>
    <x v="1"/>
    <d v="2023-08-24T00:00:00"/>
    <n v="8814"/>
    <n v="1"/>
    <n v="8814"/>
    <s v="Chris"/>
    <s v="Approved"/>
    <s v="No"/>
    <m/>
  </r>
  <r>
    <s v="Artemis 2P"/>
    <s v="HP"/>
    <s v="HEATING_CHAMBER"/>
    <n v="610202008"/>
    <s v="TK"/>
    <n v="2023"/>
    <n v="8"/>
    <s v="POA"/>
    <d v="2024-11-12T00:00:00"/>
    <s v="8+8"/>
    <n v="92040"/>
    <n v="92040"/>
    <n v="1000000"/>
    <x v="1"/>
    <d v="2023-08-30T00:00:00"/>
    <n v="13475"/>
    <n v="1"/>
    <n v="13475"/>
    <s v="Chris"/>
    <s v="Approved"/>
    <s v="No"/>
    <m/>
  </r>
  <r>
    <s v="Box 800 Default 2.0"/>
    <s v="MODI"/>
    <s v="Slider"/>
    <n v="130040670027765"/>
    <s v="TK"/>
    <n v="2023"/>
    <n v="10"/>
    <s v="POC"/>
    <d v="2024-11-12T00:00:00"/>
    <n v="2"/>
    <m/>
    <n v="0"/>
    <n v="50000"/>
    <x v="2"/>
    <d v="2023-10-19T00:00:00"/>
    <n v="71000"/>
    <n v="1"/>
    <n v="71000"/>
    <s v="Kevin"/>
    <s v="Approved"/>
    <s v="No"/>
    <m/>
  </r>
  <r>
    <s v="Box 800 Default 2.0"/>
    <s v="MODI"/>
    <s v="Bottom cover"/>
    <n v="130040670018919"/>
    <s v="TK"/>
    <n v="2023"/>
    <n v="10"/>
    <s v="POC"/>
    <d v="2024-11-12T00:00:00"/>
    <n v="2"/>
    <m/>
    <n v="0"/>
    <n v="50000"/>
    <x v="2"/>
    <d v="2023-10-19T00:00:00"/>
    <n v="98000.000000000015"/>
    <n v="1"/>
    <n v="98000.000000000015"/>
    <s v="Kevin"/>
    <s v="Approved"/>
    <s v="No"/>
    <m/>
  </r>
  <r>
    <s v="Box 800 Default 2.0"/>
    <s v="MODI"/>
    <s v="Plastic plug"/>
    <n v="130040670018925"/>
    <s v="TK"/>
    <n v="2023"/>
    <n v="10"/>
    <s v="POC"/>
    <d v="2024-11-12T00:00:00"/>
    <n v="2"/>
    <m/>
    <n v="0"/>
    <n v="50000"/>
    <x v="2"/>
    <d v="2023-10-19T00:00:00"/>
    <n v="65000.000000000007"/>
    <n v="1"/>
    <n v="65000.000000000007"/>
    <s v="Kevin"/>
    <s v="Approved"/>
    <s v="No"/>
    <m/>
  </r>
  <r>
    <s v="Artemis 2P"/>
    <s v="HP"/>
    <s v="Button"/>
    <s v="/"/>
    <s v="TK"/>
    <n v="2023"/>
    <n v="11"/>
    <s v="POC"/>
    <d v="2024-11-12T00:00:00"/>
    <n v="2"/>
    <n v="198640"/>
    <n v="198640"/>
    <n v="50000"/>
    <x v="2"/>
    <d v="2023-11-08T00:00:00"/>
    <n v="56600"/>
    <n v="1"/>
    <n v="56600"/>
    <s v="Chris"/>
    <s v="Approved"/>
    <s v="No"/>
    <s v="Artemis 1.1 Pro"/>
  </r>
  <r>
    <s v="Artemis 2P"/>
    <s v="HP"/>
    <s v="Lens"/>
    <s v="/"/>
    <s v="TK"/>
    <n v="2023"/>
    <n v="11"/>
    <s v="POC"/>
    <d v="2024-11-12T00:00:00"/>
    <n v="2"/>
    <m/>
    <n v="0"/>
    <n v="50000"/>
    <x v="2"/>
    <d v="2023-11-08T00:00:00"/>
    <n v="122000"/>
    <n v="1"/>
    <n v="122000"/>
    <s v="Chris"/>
    <s v="Approved"/>
    <s v="No"/>
    <s v="Artemis 1.1 Pro"/>
  </r>
  <r>
    <s v="Artemis 2P"/>
    <s v="HP"/>
    <s v="Heating Chasis"/>
    <s v="/"/>
    <s v="TK"/>
    <n v="2023"/>
    <n v="11"/>
    <s v="POC"/>
    <d v="2024-11-12T00:00:00"/>
    <n v="2"/>
    <m/>
    <n v="0"/>
    <n v="50000"/>
    <x v="2"/>
    <d v="2023-11-08T00:00:00"/>
    <n v="52000"/>
    <n v="1"/>
    <n v="52000"/>
    <s v="Chris"/>
    <s v="Approved"/>
    <s v="No"/>
    <s v="Artemis 1.1 Pro"/>
  </r>
  <r>
    <s v="Artemis 2P"/>
    <s v="HP"/>
    <s v="Main body cover substrate"/>
    <s v="/"/>
    <s v="TK"/>
    <n v="2023"/>
    <n v="11"/>
    <s v="POC"/>
    <d v="2024-11-12T00:00:00"/>
    <n v="2"/>
    <m/>
    <n v="0"/>
    <n v="50000"/>
    <x v="2"/>
    <d v="2023-11-08T00:00:00"/>
    <n v="198000"/>
    <n v="1"/>
    <n v="198000"/>
    <s v="Chris"/>
    <s v="Approved"/>
    <s v="No"/>
    <s v="Artemis 1.1 Pro"/>
  </r>
  <r>
    <s v="Artemis 2P"/>
    <s v="HP"/>
    <s v="Main body cover overmold"/>
    <s v="/"/>
    <s v="TK"/>
    <n v="2023"/>
    <n v="11"/>
    <s v="POC"/>
    <d v="2024-11-12T00:00:00"/>
    <n v="2"/>
    <m/>
    <n v="0"/>
    <n v="50000"/>
    <x v="2"/>
    <d v="2023-11-08T00:00:00"/>
    <n v="52800"/>
    <n v="1"/>
    <n v="52800"/>
    <s v="Chris"/>
    <s v="Approved"/>
    <s v="No"/>
    <s v="Artemis 1.1 Pro"/>
  </r>
  <r>
    <s v="Artemis 2P"/>
    <s v="HP"/>
    <s v="Slider "/>
    <s v="/"/>
    <s v="TK"/>
    <n v="2023"/>
    <n v="11"/>
    <s v="POC"/>
    <d v="2024-11-12T00:00:00"/>
    <n v="2"/>
    <m/>
    <n v="0"/>
    <n v="50000"/>
    <x v="2"/>
    <d v="2023-11-08T00:00:00"/>
    <n v="49500"/>
    <n v="1"/>
    <n v="49500"/>
    <s v="Chris"/>
    <s v="Approved"/>
    <s v="No"/>
    <s v="Artemis 1.1 Pro"/>
  </r>
  <r>
    <s v="Artemis 2P"/>
    <s v="HP"/>
    <s v="Slider support"/>
    <s v="/"/>
    <s v="TK"/>
    <n v="2023"/>
    <n v="11"/>
    <s v="POC"/>
    <d v="2024-11-12T00:00:00"/>
    <n v="2"/>
    <m/>
    <n v="0"/>
    <n v="50000"/>
    <x v="2"/>
    <d v="2023-11-08T00:00:00"/>
    <n v="73000"/>
    <n v="1"/>
    <n v="73000"/>
    <s v="Chris"/>
    <s v="Approved"/>
    <s v="No"/>
    <s v="Artemis 1.1 Pro"/>
  </r>
  <r>
    <s v="Artemis 2P"/>
    <s v="HP"/>
    <s v="Bottom cover substrate"/>
    <s v="/"/>
    <s v="TK"/>
    <n v="2023"/>
    <n v="11"/>
    <s v="POC"/>
    <d v="2024-11-12T00:00:00"/>
    <n v="2"/>
    <m/>
    <n v="0"/>
    <n v="50000"/>
    <x v="2"/>
    <d v="2023-11-08T00:00:00"/>
    <n v="64000"/>
    <n v="1"/>
    <n v="64000"/>
    <s v="Chris"/>
    <s v="Approved"/>
    <s v="No"/>
    <s v="Artemis 1.1 Pro"/>
  </r>
  <r>
    <s v="Artemis 2P"/>
    <s v="HP"/>
    <s v="Bottom cover overmold"/>
    <s v="/"/>
    <s v="TK"/>
    <n v="2023"/>
    <n v="11"/>
    <s v="POC"/>
    <d v="2024-11-12T00:00:00"/>
    <n v="2"/>
    <m/>
    <n v="0"/>
    <n v="50000"/>
    <x v="2"/>
    <d v="2023-11-08T00:00:00"/>
    <n v="59400"/>
    <n v="1"/>
    <n v="59400"/>
    <s v="Chris"/>
    <s v="Approved"/>
    <s v="No"/>
    <s v="Artemis 1.1 Pro"/>
  </r>
  <r>
    <s v="Artemis 2P"/>
    <s v="HP"/>
    <s v="BTB Bracket"/>
    <s v="/"/>
    <s v="TK"/>
    <n v="2023"/>
    <n v="11"/>
    <s v="POC"/>
    <d v="2024-11-12T00:00:00"/>
    <n v="2"/>
    <m/>
    <n v="0"/>
    <n v="50000"/>
    <x v="2"/>
    <d v="2023-11-08T00:00:00"/>
    <n v="41500"/>
    <n v="1"/>
    <n v="41500"/>
    <s v="Chris"/>
    <s v="Approved"/>
    <s v="No"/>
    <s v="Artemis 1.1 Pro"/>
  </r>
  <r>
    <s v="Artemis 2P"/>
    <s v="HP"/>
    <s v="Slider"/>
    <s v="/"/>
    <s v="TK"/>
    <n v="2023"/>
    <n v="11"/>
    <s v="POC"/>
    <d v="2024-11-12T00:00:00"/>
    <n v="2"/>
    <m/>
    <n v="0"/>
    <n v="50000"/>
    <x v="0"/>
    <d v="2023-11-23T00:00:00"/>
    <n v="4424.7787610619471"/>
    <n v="1"/>
    <n v="4424.7787610619471"/>
    <s v="Chris"/>
    <s v="Approved"/>
    <s v="No"/>
    <s v="Artemis 1.1 Pro"/>
  </r>
  <r>
    <s v="Artemis 2P"/>
    <s v="HP"/>
    <s v="Slider"/>
    <s v="/"/>
    <s v="TK"/>
    <n v="2023"/>
    <n v="3"/>
    <s v="POC"/>
    <d v="2024-11-12T00:00:00"/>
    <n v="2"/>
    <m/>
    <n v="0"/>
    <n v="50000"/>
    <x v="0"/>
    <d v="2024-03-12T00:00:00"/>
    <n v="5684.9557522123896"/>
    <n v="1"/>
    <n v="5684.9557522123896"/>
    <s v="Chris"/>
    <s v="Approved"/>
    <s v="No"/>
    <s v="Artemis 1.1 Pro"/>
  </r>
  <r>
    <s v="Artemis 2P"/>
    <s v="HP"/>
    <s v="Bottom cover"/>
    <s v="/"/>
    <s v="TK"/>
    <n v="2023"/>
    <n v="11"/>
    <s v="POC"/>
    <d v="2024-11-12T00:00:00"/>
    <n v="2"/>
    <n v="360360"/>
    <n v="360360"/>
    <n v="50000"/>
    <x v="0"/>
    <d v="2023-11-23T00:00:00"/>
    <n v="3274.3362831858412"/>
    <n v="1"/>
    <n v="3274.3362831858412"/>
    <s v="Chris"/>
    <s v="Approved"/>
    <s v="No"/>
    <s v="Artemis 1.1 Pro"/>
  </r>
  <r>
    <s v="Artemis 2P"/>
    <s v="HP"/>
    <s v="Bottom cover"/>
    <s v="/"/>
    <s v="TK"/>
    <n v="2024"/>
    <n v="1"/>
    <s v="POC"/>
    <d v="2024-11-12T00:00:00"/>
    <n v="2"/>
    <n v="360360"/>
    <n v="360360"/>
    <n v="50000"/>
    <x v="0"/>
    <d v="2024-01-15T00:00:00"/>
    <n v="22022"/>
    <n v="1"/>
    <n v="22022"/>
    <s v="Chris"/>
    <s v="Approved"/>
    <s v="No"/>
    <s v="Artemis 1.1 Pro"/>
  </r>
  <r>
    <s v="Artemis 2P"/>
    <s v="HP"/>
    <s v="Bottom cover"/>
    <s v="/"/>
    <s v="TK"/>
    <n v="2024"/>
    <n v="3"/>
    <s v="POC"/>
    <d v="2024-11-12T00:00:00"/>
    <n v="2"/>
    <n v="360360"/>
    <n v="360360"/>
    <n v="50000"/>
    <x v="0"/>
    <d v="2024-03-26T00:00:00"/>
    <n v="4285"/>
    <n v="1"/>
    <n v="4285"/>
    <m/>
    <m/>
    <m/>
    <m/>
  </r>
  <r>
    <s v="Artemis 2P"/>
    <s v="HP"/>
    <s v="Button"/>
    <s v="/"/>
    <s v="TK"/>
    <n v="2023"/>
    <n v="12"/>
    <s v="POC"/>
    <d v="2024-11-12T00:00:00"/>
    <n v="2"/>
    <n v="198640"/>
    <n v="198640"/>
    <n v="50000"/>
    <x v="0"/>
    <d v="2023-12-14T00:00:00"/>
    <n v="5684.9557522123896"/>
    <n v="1"/>
    <n v="5684.9557522123896"/>
    <s v="Chris"/>
    <s v="Approved"/>
    <s v="No"/>
    <s v="Artemis 1.1 Pro"/>
  </r>
  <r>
    <s v="Artemis 2P"/>
    <s v="HP"/>
    <s v="main body cover"/>
    <s v="/"/>
    <s v="TK"/>
    <n v="2024"/>
    <n v="1"/>
    <s v="POC"/>
    <d v="2024-11-12T00:00:00"/>
    <n v="2"/>
    <m/>
    <n v="0"/>
    <n v="50000"/>
    <x v="0"/>
    <d v="2024-01-15T00:00:00"/>
    <n v="26947.787610619471"/>
    <n v="1"/>
    <n v="26947.787610619471"/>
    <s v="Chris"/>
    <s v="Approved"/>
    <s v="No"/>
    <s v="Artemis 1.1 Pro"/>
  </r>
  <r>
    <s v="Artemis 2P"/>
    <s v="HP"/>
    <s v="12o cover"/>
    <s v="/"/>
    <s v="TK"/>
    <n v="2024"/>
    <n v="1"/>
    <s v="POC"/>
    <d v="2024-11-12T00:00:00"/>
    <n v="2"/>
    <m/>
    <n v="0"/>
    <n v="50000"/>
    <x v="0"/>
    <d v="2024-01-15T00:00:00"/>
    <n v="4424.7787610619471"/>
    <n v="1"/>
    <n v="4424.7787610619471"/>
    <s v="Chris"/>
    <s v="Approved"/>
    <s v="No"/>
    <s v="Artemis 1.1 Pro"/>
  </r>
  <r>
    <s v="Artemis 2P"/>
    <s v="HP"/>
    <s v="slider support"/>
    <s v="/"/>
    <s v="TK"/>
    <n v="2024"/>
    <n v="1"/>
    <s v="POC"/>
    <d v="2024-11-12T00:00:00"/>
    <n v="2"/>
    <m/>
    <n v="0"/>
    <n v="50000"/>
    <x v="0"/>
    <d v="2024-01-17T00:00:00"/>
    <n v="12212.389380530974"/>
    <n v="1"/>
    <n v="12212.389380530974"/>
    <s v="Chris"/>
    <s v="Approved"/>
    <s v="No"/>
    <s v="Artemis 1.1 Pro"/>
  </r>
  <r>
    <s v="Artemis 2P"/>
    <s v="HP"/>
    <s v="slider support"/>
    <s v="/"/>
    <s v="TK"/>
    <n v="2024"/>
    <n v="1"/>
    <s v="POC"/>
    <d v="2024-11-12T00:00:00"/>
    <n v="2"/>
    <m/>
    <n v="0"/>
    <n v="50000"/>
    <x v="0"/>
    <d v="2024-01-23T00:00:00"/>
    <n v="11946.902654867257"/>
    <n v="1"/>
    <n v="11946.902654867257"/>
    <s v="Chris"/>
    <s v="Approved"/>
    <s v="No"/>
    <s v="Artemis 1.1 Pro"/>
  </r>
  <r>
    <s v="Artemis 2P"/>
    <s v="HP"/>
    <s v="slider support"/>
    <s v="/"/>
    <s v="TK"/>
    <n v="2024"/>
    <n v="3"/>
    <s v="POC"/>
    <d v="2024-11-12T00:00:00"/>
    <n v="2"/>
    <m/>
    <n v="0"/>
    <n v="50000"/>
    <x v="0"/>
    <d v="2024-03-12T00:00:00"/>
    <n v="14585"/>
    <n v="1"/>
    <n v="14585"/>
    <s v="Chris"/>
    <s v="Approved"/>
    <s v="No"/>
    <s v="Artemis 1.1 Pro"/>
  </r>
  <r>
    <s v="Artemis 2P"/>
    <s v="HP"/>
    <s v="Lens"/>
    <s v="/"/>
    <s v="TK"/>
    <n v="2024"/>
    <n v="3"/>
    <s v="POC"/>
    <d v="2024-11-12T00:00:00"/>
    <n v="2"/>
    <m/>
    <n v="0"/>
    <n v="50000"/>
    <x v="0"/>
    <d v="2024-03-12T00:00:00"/>
    <n v="7796.4601769911515"/>
    <n v="1"/>
    <n v="7796.4601769911515"/>
    <s v="Chris"/>
    <s v="Approved"/>
    <s v="No"/>
    <s v="Artemis 1.1 Pro"/>
  </r>
  <r>
    <s v="Artemis 2P"/>
    <s v="HP"/>
    <s v="Bottom cover inner"/>
    <s v="/"/>
    <s v="TK"/>
    <n v="2024"/>
    <n v="3"/>
    <s v="POC"/>
    <d v="2024-11-12T00:00:00"/>
    <n v="2"/>
    <m/>
    <n v="0"/>
    <n v="50000"/>
    <x v="0"/>
    <d v="2024-03-12T00:00:00"/>
    <n v="20579.646017699117"/>
    <n v="1"/>
    <n v="20579.646017699117"/>
    <s v="Chris"/>
    <s v="Approved"/>
    <s v="No"/>
    <s v="Artemis 1.1 Pro"/>
  </r>
  <r>
    <s v="Artemis 2P"/>
    <s v="HP"/>
    <s v="heating chassis"/>
    <s v="/"/>
    <s v="TK"/>
    <n v="2024"/>
    <n v="3"/>
    <s v="POC"/>
    <d v="2024-11-12T00:00:00"/>
    <n v="2"/>
    <m/>
    <n v="0"/>
    <n v="50000"/>
    <x v="0"/>
    <d v="2024-03-26T00:00:00"/>
    <n v="7507.9646017699124"/>
    <n v="1"/>
    <n v="7507.9646017699124"/>
    <s v="Chris"/>
    <s v="Approved"/>
    <s v="No"/>
    <s v="Artemis 1.1 Pro"/>
  </r>
  <r>
    <s v="Hestia 1.0"/>
    <s v="RCS POD"/>
    <s v="Heater top cover"/>
    <s v="/"/>
    <s v="TK"/>
    <n v="2024"/>
    <n v="10"/>
    <s v="DP"/>
    <d v="2024-11-12T00:00:00"/>
    <n v="48"/>
    <n v="2965248"/>
    <n v="2965248"/>
    <n v="1000000"/>
    <x v="1"/>
    <d v="2024-10-30T00:00:00"/>
    <n v="112389.5"/>
    <n v="1"/>
    <n v="112389.5"/>
    <s v="Chris"/>
    <s v="Approved"/>
    <s v="No"/>
    <s v="Hestia1.0"/>
  </r>
  <r>
    <s v="Box 5000 Full 2.0"/>
    <s v="MODI"/>
    <s v="Heater top cover"/>
    <n v="130040670023445"/>
    <s v="TK"/>
    <n v="2024"/>
    <n v="11"/>
    <s v="POC"/>
    <d v="2024-11-12T00:00:00"/>
    <n v="2"/>
    <m/>
    <n v="0"/>
    <n v="50000"/>
    <x v="0"/>
    <d v="2024-11-01T00:00:00"/>
    <n v="15044"/>
    <n v="1"/>
    <n v="15044"/>
    <s v="Chris"/>
    <s v="Approved"/>
    <s v="No"/>
    <s v="MD2.0 3&amp;5&amp;8K new ECN"/>
  </r>
  <r>
    <s v="HESTIA 1.1 (non s3t)"/>
    <e v="#N/A"/>
    <s v="Cartridge tank"/>
    <s v="/"/>
    <s v="TK"/>
    <n v="2024"/>
    <n v="10"/>
    <s v="POA"/>
    <d v="2024-11-12T00:00:00"/>
    <n v="48"/>
    <m/>
    <n v="0"/>
    <n v="1000000"/>
    <x v="1"/>
    <d v="2024-10-22T00:00:00"/>
    <n v="3185.8407079646022"/>
    <n v="1"/>
    <n v="3185.8407079646022"/>
    <s v="Chris"/>
    <s v="Approved"/>
    <s v="No"/>
    <m/>
  </r>
  <r>
    <s v="HESTIA 1.1 (non s3t)"/>
    <e v="#N/A"/>
    <s v="Heating holder"/>
    <s v="/"/>
    <s v="TK"/>
    <n v="2024"/>
    <n v="7"/>
    <s v="POA"/>
    <d v="2024-11-12T00:00:00"/>
    <n v="48"/>
    <m/>
    <m/>
    <n v="1000000"/>
    <x v="1"/>
    <d v="2024-07-22T00:00:00"/>
    <n v="2256.6371681415931"/>
    <n v="1"/>
    <n v="2256.6371681415931"/>
    <s v="Chris"/>
    <s v="Approved"/>
    <s v="No"/>
    <m/>
  </r>
  <r>
    <s v="Clyde RCS DEVICE"/>
    <s v="HP"/>
    <s v="Button"/>
    <n v="230000960202007"/>
    <s v="TK"/>
    <n v="2024"/>
    <n v="10"/>
    <s v="POC"/>
    <d v="2024-11-12T00:00:00"/>
    <n v="2"/>
    <m/>
    <n v="0"/>
    <n v="50000"/>
    <x v="0"/>
    <d v="2024-10-24T00:00:00"/>
    <n v="9636"/>
    <n v="1"/>
    <n v="9636"/>
    <s v="Chris"/>
    <s v="Approved"/>
    <s v="No"/>
    <m/>
  </r>
  <r>
    <s v="Clyde RCS DEVICE"/>
    <s v="HP"/>
    <s v="Light guidance"/>
    <n v="230000960202006"/>
    <s v="TK"/>
    <n v="2024"/>
    <n v="10"/>
    <s v="POC"/>
    <d v="2024-11-12T00:00:00"/>
    <s v="2+2"/>
    <m/>
    <n v="0"/>
    <n v="50000"/>
    <x v="0"/>
    <d v="2024-10-24T00:00:00"/>
    <n v="15482"/>
    <n v="1"/>
    <n v="15482"/>
    <s v="Chris"/>
    <s v="Approved"/>
    <s v="No"/>
    <m/>
  </r>
  <r>
    <s v="Box 800 Default 2.0"/>
    <s v="MODI"/>
    <s v="Bottom cover"/>
    <n v="130040670018919"/>
    <s v="TK"/>
    <n v="2024"/>
    <n v="12"/>
    <s v="DP"/>
    <d v="2024-11-12T00:00:00"/>
    <n v="2"/>
    <m/>
    <n v="0"/>
    <n v="50000"/>
    <x v="0"/>
    <d v="2023-12-11T00:00:00"/>
    <n v="5575.2212389380538"/>
    <n v="1"/>
    <n v="5575.2212389380538"/>
    <s v="Chris"/>
    <s v="Approved"/>
    <s v="No"/>
    <m/>
  </r>
  <r>
    <s v="Box 800 Default 2.0"/>
    <s v="MODI"/>
    <s v="Cartridge tank"/>
    <n v="130040670018928"/>
    <s v="TK"/>
    <n v="2024"/>
    <n v="1"/>
    <s v="POC"/>
    <d v="2024-11-12T00:00:00"/>
    <n v="2"/>
    <m/>
    <n v="0"/>
    <n v="50000"/>
    <x v="0"/>
    <d v="2024-01-04T00:00:00"/>
    <n v="8442.4778761061953"/>
    <n v="1"/>
    <n v="8442.4778761061953"/>
    <s v="Chris"/>
    <s v="Approved"/>
    <s v="No"/>
    <m/>
  </r>
  <r>
    <s v="Box 800 Full 2.0"/>
    <s v="MODI"/>
    <s v="PCB_BRACKET"/>
    <n v="130040670023906"/>
    <s v="TK"/>
    <n v="2024"/>
    <n v="4"/>
    <s v="DP"/>
    <d v="2024-11-12T00:00:00"/>
    <n v="2"/>
    <m/>
    <n v="0"/>
    <n v="50000"/>
    <x v="0"/>
    <d v="2024-04-11T00:00:00"/>
    <n v="5752"/>
    <n v="1"/>
    <n v="5752"/>
    <s v="Chris"/>
    <s v="Approved"/>
    <s v="No"/>
    <m/>
  </r>
  <r>
    <s v="Box 800 Default 2.0"/>
    <s v="MODI"/>
    <s v="Heater top cover"/>
    <n v="130040670018929"/>
    <s v="TK"/>
    <n v="2024"/>
    <n v="12"/>
    <s v="DP"/>
    <d v="2025-01-03T00:00:00"/>
    <n v="2"/>
    <n v="2490280"/>
    <n v="2490280"/>
    <n v="1000000"/>
    <x v="0"/>
    <d v="2024-12-02T00:00:00"/>
    <n v="8460"/>
    <n v="1"/>
    <n v="8460"/>
    <s v="Chris"/>
    <s v="Approved"/>
    <s v="No"/>
    <m/>
  </r>
  <r>
    <s v="Box 800 Default 2.0"/>
    <s v="MODI"/>
    <s v="Heating holder"/>
    <n v="130040670018930"/>
    <s v="TK"/>
    <n v="2024"/>
    <n v="12"/>
    <s v="DP"/>
    <d v="2025-01-03T00:00:00"/>
    <n v="2"/>
    <n v="2490280"/>
    <n v="2490280"/>
    <n v="1000000"/>
    <x v="0"/>
    <d v="2024-12-02T00:00:00"/>
    <n v="7780"/>
    <n v="1"/>
    <n v="7780"/>
    <s v="Chris"/>
    <s v="Approved"/>
    <s v="No"/>
    <m/>
  </r>
  <r>
    <s v="Box 800 Default 2.0"/>
    <s v="MODI"/>
    <s v="Plastic plug"/>
    <n v="130040670018925"/>
    <s v="TK"/>
    <n v="2024"/>
    <n v="12"/>
    <s v="DP"/>
    <d v="2025-01-03T00:00:00"/>
    <n v="2"/>
    <n v="2817880"/>
    <n v="2817880"/>
    <n v="1000000"/>
    <x v="0"/>
    <d v="2024-12-02T00:00:00"/>
    <n v="4645"/>
    <n v="1"/>
    <n v="4645"/>
    <s v="Chris"/>
    <s v="Approved"/>
    <s v="N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3"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79"/>
  </dataFields>
  <formats count="6">
    <format dxfId="9">
      <pivotArea outline="0" collapsedLevelsAreSubtotals="1" fieldPosition="0"/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grandCol="1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3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ol type">
  <location ref="D3:E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4" showAll="0"/>
    <pivotField numFmtId="209" showAll="0"/>
    <pivotField showAll="0"/>
    <pivotField dataField="1" numFmtId="209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Tool cost" fld="10" baseField="0" baseItem="0" numFmtId="179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oling type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4" showAll="0"/>
    <pivotField numFmtId="179" showAll="0"/>
    <pivotField showAll="0"/>
    <pivotField dataField="1" numFmtId="179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Tool cost" fld="16" baseField="0" baseItem="0" numFmtId="179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表1" displayName="表1" ref="A3:V53" totalsRowShown="0">
  <autoFilter ref="A3:V53"/>
  <sortState ref="A4:V53">
    <sortCondition ref="R3:R53"/>
  </sortState>
  <tableColumns count="22">
    <tableColumn id="1" name="Project"/>
    <tableColumn id="2" name="Product Category"/>
    <tableColumn id="3" name="Part Name"/>
    <tableColumn id="4" name="Part No."/>
    <tableColumn id="5" name="Supplier "/>
    <tableColumn id="6" name="Year"/>
    <tableColumn id="7" name="Month"/>
    <tableColumn id="8" name="Stage"/>
    <tableColumn id="9" name="Data Submit Date" dataDxfId="11"/>
    <tableColumn id="10" name="Cavity"/>
    <tableColumn id="11" name="Tooling Capacity Per Month"/>
    <tableColumn id="12" name="Total Capacity Per Month"/>
    <tableColumn id="13" name="Tooling life"/>
    <tableColumn id="14" name="Tool type"/>
    <tableColumn id="15" name="Kick off date" dataDxfId="10"/>
    <tableColumn id="16" name="Tool Unit cost"/>
    <tableColumn id="17" name="Q'ty"/>
    <tableColumn id="18" name="Total Tool cost"/>
    <tableColumn id="19" name="Requested by Whom"/>
    <tableColumn id="20" name="Approval Status"/>
    <tableColumn id="21" name="Payment Status"/>
    <tableColumn id="22" name="Re3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8-19T01:20:08.37" personId="{F915BB36-E4AA-4CD7-A973-FB84A75B96E0}" id="{C9B98FF1-216B-46C5-8CEA-B60ADD2C1952}">
    <text>请确保和最新的2D 图纸一样，包括大小写. 字体请用Calibri， 10 号字体</text>
  </threadedComment>
  <threadedComment ref="W3" dT="2025-01-02T08:40:45.81" personId="{A6F1F21E-D63C-44C7-80D5-2A6DA0F1CD7C}" id="{88BDD32D-450B-4CF8-AEEA-F28C2D67168C}">
    <text>Follow with the description in latest 2D drawings.</text>
  </threadedComment>
  <threadedComment ref="AA3" dT="2025-01-07T02:03:59.76" personId="{A6F1F21E-D63C-44C7-80D5-2A6DA0F1CD7C}" id="{6DDA19FD-EFDE-4E16-8DB8-4B8AEF708474}">
    <text>Painting, anodizing, printing or others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9"/>
  <sheetViews>
    <sheetView topLeftCell="B1" workbookViewId="0">
      <selection activeCell="G7" sqref="G7"/>
    </sheetView>
  </sheetViews>
  <sheetFormatPr defaultRowHeight="14.25"/>
  <cols>
    <col min="2" max="2" width="32.625" customWidth="1"/>
    <col min="3" max="3" width="27.25" customWidth="1"/>
    <col min="4" max="4" width="19.875" customWidth="1"/>
    <col min="5" max="5" width="14.625" customWidth="1"/>
    <col min="6" max="6" width="14.625" style="223" customWidth="1"/>
    <col min="7" max="7" width="21" customWidth="1"/>
    <col min="8" max="8" width="17.375" style="183" customWidth="1"/>
    <col min="9" max="9" width="15.25" customWidth="1"/>
    <col min="10" max="10" width="14.375" customWidth="1"/>
    <col min="11" max="11" width="13.625" customWidth="1"/>
  </cols>
  <sheetData>
    <row r="1" spans="1:10">
      <c r="A1" t="s">
        <v>0</v>
      </c>
    </row>
    <row r="2" spans="1:10" ht="51.6" customHeight="1">
      <c r="A2" s="62" t="s">
        <v>1</v>
      </c>
      <c r="B2" s="62" t="s">
        <v>2</v>
      </c>
      <c r="C2" s="62" t="s">
        <v>3</v>
      </c>
      <c r="D2" s="211" t="s">
        <v>4</v>
      </c>
      <c r="E2" s="62" t="s">
        <v>5</v>
      </c>
      <c r="F2" s="224" t="s">
        <v>6</v>
      </c>
      <c r="G2" s="62" t="s">
        <v>7</v>
      </c>
      <c r="H2" s="184" t="s">
        <v>8</v>
      </c>
      <c r="I2" s="63" t="s">
        <v>9</v>
      </c>
      <c r="J2" s="188" t="s">
        <v>10</v>
      </c>
    </row>
    <row r="3" spans="1:10" ht="26.45" customHeight="1">
      <c r="A3" s="60">
        <v>2</v>
      </c>
      <c r="B3" s="193" t="s">
        <v>11</v>
      </c>
      <c r="C3" s="194" t="s">
        <v>11</v>
      </c>
      <c r="D3" s="212">
        <v>23526500</v>
      </c>
      <c r="E3" s="196">
        <v>0</v>
      </c>
      <c r="F3" s="225">
        <f t="shared" ref="F3:F16" si="0">E3+D3</f>
        <v>23526500</v>
      </c>
      <c r="G3" s="60" t="s">
        <v>12</v>
      </c>
      <c r="H3" s="185">
        <f>D3-I3</f>
        <v>25213615.6404</v>
      </c>
      <c r="I3" s="199">
        <v>-1687115.6403999999</v>
      </c>
      <c r="J3" s="200">
        <f>SUM('Spend Track (part)'!U397:U400)</f>
        <v>-1687639.6404000018</v>
      </c>
    </row>
    <row r="4" spans="1:10" ht="26.45" customHeight="1">
      <c r="A4" s="60">
        <v>3</v>
      </c>
      <c r="B4" s="193" t="s">
        <v>13</v>
      </c>
      <c r="C4" s="194" t="s">
        <v>13</v>
      </c>
      <c r="D4" s="213">
        <v>1550800</v>
      </c>
      <c r="E4" s="196">
        <v>0</v>
      </c>
      <c r="F4" s="225">
        <f t="shared" si="0"/>
        <v>1550800</v>
      </c>
      <c r="G4" s="60" t="s">
        <v>12</v>
      </c>
      <c r="H4" s="185">
        <f t="shared" ref="H4:H5" si="1">D4-I4</f>
        <v>1277115</v>
      </c>
      <c r="I4" s="199">
        <v>273685</v>
      </c>
      <c r="J4" s="200">
        <v>273685</v>
      </c>
    </row>
    <row r="5" spans="1:10" ht="26.45" customHeight="1">
      <c r="A5" s="60"/>
      <c r="B5" s="195" t="s">
        <v>14</v>
      </c>
      <c r="C5" s="195" t="s">
        <v>15</v>
      </c>
      <c r="D5" s="212">
        <v>546000</v>
      </c>
      <c r="E5" s="196">
        <v>0</v>
      </c>
      <c r="F5" s="225">
        <f t="shared" si="0"/>
        <v>546000</v>
      </c>
      <c r="G5" s="60"/>
      <c r="H5" s="185">
        <f t="shared" si="1"/>
        <v>0</v>
      </c>
      <c r="I5" s="199">
        <v>546000.00000000023</v>
      </c>
      <c r="J5" s="200">
        <v>546000.00000000023</v>
      </c>
    </row>
    <row r="6" spans="1:10" ht="26.45" customHeight="1">
      <c r="A6" s="60">
        <v>4</v>
      </c>
      <c r="B6" s="193" t="s">
        <v>16</v>
      </c>
      <c r="C6" s="194" t="s">
        <v>17</v>
      </c>
      <c r="D6" s="212">
        <v>7593920</v>
      </c>
      <c r="E6" s="196">
        <v>0</v>
      </c>
      <c r="F6" s="225">
        <f t="shared" si="0"/>
        <v>7593920</v>
      </c>
      <c r="G6" s="60" t="s">
        <v>12</v>
      </c>
      <c r="H6" s="186">
        <v>142032</v>
      </c>
      <c r="I6" s="214">
        <v>0</v>
      </c>
      <c r="J6" s="215">
        <v>7451888</v>
      </c>
    </row>
    <row r="7" spans="1:10" ht="26.45" customHeight="1">
      <c r="A7" s="60">
        <v>7</v>
      </c>
      <c r="B7" s="193" t="s">
        <v>18</v>
      </c>
      <c r="C7" s="194" t="s">
        <v>19</v>
      </c>
      <c r="D7" s="206">
        <v>13154000</v>
      </c>
      <c r="E7" s="221">
        <v>1387431</v>
      </c>
      <c r="F7" s="225">
        <f t="shared" si="0"/>
        <v>14541431</v>
      </c>
      <c r="G7" s="60" t="s">
        <v>12</v>
      </c>
      <c r="H7" s="186">
        <f>0.0213*59664740+0.0163*61023100+0.0159*63538368</f>
        <v>3275795.5432000002</v>
      </c>
      <c r="I7" s="216">
        <f>D7+E7-H7</f>
        <v>11265635.456799999</v>
      </c>
      <c r="J7" s="481">
        <f>I7+I8</f>
        <v>16979619.340399999</v>
      </c>
    </row>
    <row r="8" spans="1:10" ht="26.45" customHeight="1">
      <c r="A8" s="60">
        <v>21</v>
      </c>
      <c r="B8" s="203" t="s">
        <v>20</v>
      </c>
      <c r="C8" s="207" t="s">
        <v>21</v>
      </c>
      <c r="D8" s="208">
        <v>7451888</v>
      </c>
      <c r="E8" s="221"/>
      <c r="F8" s="225">
        <f t="shared" si="0"/>
        <v>7451888</v>
      </c>
      <c r="G8" s="204" t="s">
        <v>12</v>
      </c>
      <c r="H8" s="205">
        <f>0.0118*59664740+0.0083*61023100+0.0083*63538368</f>
        <v>1737904.1164000002</v>
      </c>
      <c r="I8" s="217">
        <f>D8+E8-H8</f>
        <v>5713983.8836000003</v>
      </c>
      <c r="J8" s="481"/>
    </row>
    <row r="9" spans="1:10" ht="26.45" customHeight="1">
      <c r="A9" s="202">
        <v>11</v>
      </c>
      <c r="B9" s="218" t="s">
        <v>22</v>
      </c>
      <c r="C9" s="194" t="s">
        <v>23</v>
      </c>
      <c r="D9" s="209">
        <v>16502000</v>
      </c>
      <c r="E9" s="222">
        <v>0</v>
      </c>
      <c r="F9" s="225">
        <f t="shared" si="0"/>
        <v>16502000</v>
      </c>
      <c r="G9" s="60" t="s">
        <v>12</v>
      </c>
      <c r="H9" s="186">
        <v>3959494</v>
      </c>
      <c r="I9" s="187">
        <v>12542506</v>
      </c>
      <c r="J9" s="197">
        <v>12542506</v>
      </c>
    </row>
    <row r="10" spans="1:10" ht="26.45" customHeight="1">
      <c r="A10" s="202">
        <v>14</v>
      </c>
      <c r="B10" s="193" t="s">
        <v>24</v>
      </c>
      <c r="C10" s="194" t="s">
        <v>25</v>
      </c>
      <c r="D10" s="206">
        <v>7290000</v>
      </c>
      <c r="E10" s="187">
        <v>0</v>
      </c>
      <c r="F10" s="225">
        <f t="shared" si="0"/>
        <v>7290000</v>
      </c>
      <c r="G10" s="60" t="s">
        <v>12</v>
      </c>
      <c r="H10" s="186">
        <v>1166539</v>
      </c>
      <c r="I10" s="219">
        <f>D10+E10-H10</f>
        <v>6123461</v>
      </c>
      <c r="J10" s="219">
        <v>6123461</v>
      </c>
    </row>
    <row r="11" spans="1:10" ht="26.45" customHeight="1">
      <c r="A11" s="202">
        <v>15</v>
      </c>
      <c r="B11" s="193" t="s">
        <v>24</v>
      </c>
      <c r="C11" s="194" t="s">
        <v>26</v>
      </c>
      <c r="D11" s="206">
        <v>1439000</v>
      </c>
      <c r="E11" s="187">
        <v>24193</v>
      </c>
      <c r="F11" s="225">
        <f t="shared" si="0"/>
        <v>1463193</v>
      </c>
      <c r="G11" s="60" t="s">
        <v>12</v>
      </c>
      <c r="H11" s="186">
        <v>82381</v>
      </c>
      <c r="I11" s="219">
        <f>D11+E11-H11</f>
        <v>1380812</v>
      </c>
      <c r="J11" s="219">
        <v>1380812</v>
      </c>
    </row>
    <row r="12" spans="1:10" ht="26.45" customHeight="1">
      <c r="A12" s="202">
        <v>16</v>
      </c>
      <c r="B12" s="193" t="s">
        <v>24</v>
      </c>
      <c r="C12" s="194" t="s">
        <v>27</v>
      </c>
      <c r="D12" s="206">
        <v>9864000</v>
      </c>
      <c r="E12" s="187">
        <v>945060</v>
      </c>
      <c r="F12" s="225">
        <f t="shared" si="0"/>
        <v>10809060</v>
      </c>
      <c r="G12" s="60" t="s">
        <v>12</v>
      </c>
      <c r="H12" s="186">
        <v>1370648</v>
      </c>
      <c r="I12" s="219">
        <f t="shared" ref="I12:I16" si="2">D12+E12-H12</f>
        <v>9438412</v>
      </c>
      <c r="J12" s="219">
        <v>9438412</v>
      </c>
    </row>
    <row r="13" spans="1:10" ht="26.45" customHeight="1">
      <c r="A13" s="202">
        <v>17</v>
      </c>
      <c r="B13" s="193" t="s">
        <v>24</v>
      </c>
      <c r="C13" s="194" t="s">
        <v>28</v>
      </c>
      <c r="D13" s="206">
        <v>5254000</v>
      </c>
      <c r="E13" s="187">
        <v>212518</v>
      </c>
      <c r="F13" s="225">
        <f t="shared" si="0"/>
        <v>5466518</v>
      </c>
      <c r="G13" s="60" t="s">
        <v>12</v>
      </c>
      <c r="H13" s="186">
        <v>848608</v>
      </c>
      <c r="I13" s="219">
        <f t="shared" si="2"/>
        <v>4617910</v>
      </c>
      <c r="J13" s="219">
        <v>4617910</v>
      </c>
    </row>
    <row r="14" spans="1:10" ht="26.45" customHeight="1">
      <c r="A14" s="202">
        <v>18</v>
      </c>
      <c r="B14" s="193" t="s">
        <v>24</v>
      </c>
      <c r="C14" s="194" t="s">
        <v>29</v>
      </c>
      <c r="D14" s="210">
        <v>5924000</v>
      </c>
      <c r="E14" s="198">
        <v>136874</v>
      </c>
      <c r="F14" s="225">
        <f t="shared" si="0"/>
        <v>6060874</v>
      </c>
      <c r="G14" s="60" t="s">
        <v>12</v>
      </c>
      <c r="H14" s="186">
        <v>1237977</v>
      </c>
      <c r="I14" s="219">
        <f t="shared" si="2"/>
        <v>4822897</v>
      </c>
      <c r="J14" s="219">
        <v>4822897</v>
      </c>
    </row>
    <row r="15" spans="1:10" ht="26.45" customHeight="1">
      <c r="A15" s="202">
        <v>23</v>
      </c>
      <c r="B15" s="193" t="s">
        <v>30</v>
      </c>
      <c r="C15" s="193" t="s">
        <v>31</v>
      </c>
      <c r="D15" s="29">
        <v>558000</v>
      </c>
      <c r="E15" s="187">
        <v>0</v>
      </c>
      <c r="F15" s="225">
        <f t="shared" si="0"/>
        <v>558000</v>
      </c>
      <c r="G15" s="61" t="s">
        <v>12</v>
      </c>
      <c r="H15" s="187">
        <v>0</v>
      </c>
      <c r="I15" s="219">
        <f t="shared" si="2"/>
        <v>558000</v>
      </c>
      <c r="J15" s="220"/>
    </row>
    <row r="16" spans="1:10" ht="26.45" customHeight="1">
      <c r="A16" s="201"/>
      <c r="B16" s="193" t="s">
        <v>32</v>
      </c>
      <c r="C16" s="193"/>
      <c r="D16" s="29">
        <v>4384550</v>
      </c>
      <c r="E16" s="187">
        <v>455655</v>
      </c>
      <c r="F16" s="225">
        <f t="shared" si="0"/>
        <v>4840205</v>
      </c>
      <c r="G16" s="61" t="s">
        <v>12</v>
      </c>
      <c r="H16" s="187">
        <v>0</v>
      </c>
      <c r="I16" s="219">
        <f t="shared" si="2"/>
        <v>4840205</v>
      </c>
      <c r="J16" s="220"/>
    </row>
    <row r="17" spans="4:10">
      <c r="D17" s="183">
        <f>SUM(D3:D16)</f>
        <v>105038658</v>
      </c>
      <c r="E17" s="183">
        <f>SUM(E3:E16)</f>
        <v>3161731</v>
      </c>
      <c r="F17" s="183">
        <f>SUM(F3:F16)</f>
        <v>108200389</v>
      </c>
      <c r="H17" s="183">
        <f>SUM(H3:H16)</f>
        <v>40312109.299999997</v>
      </c>
      <c r="I17" s="183">
        <f>SUM(I3:I16)</f>
        <v>60436391.700000003</v>
      </c>
      <c r="J17" s="183"/>
    </row>
    <row r="18" spans="4:10">
      <c r="I18" s="183"/>
    </row>
    <row r="19" spans="4:10">
      <c r="I19" s="183"/>
    </row>
  </sheetData>
  <protectedRanges>
    <protectedRange sqref="D15:D16" name="Range1"/>
  </protectedRanges>
  <mergeCells count="1">
    <mergeCell ref="J7:J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638"/>
  <sheetViews>
    <sheetView zoomScale="72" zoomScaleNormal="72" workbookViewId="0">
      <selection activeCell="B11" sqref="B11"/>
    </sheetView>
  </sheetViews>
  <sheetFormatPr defaultColWidth="8.75" defaultRowHeight="15" customHeight="1"/>
  <cols>
    <col min="1" max="1" width="18.625" style="11" customWidth="1"/>
    <col min="2" max="2" width="20.625" style="8" customWidth="1"/>
    <col min="3" max="3" width="26.125" style="8" customWidth="1"/>
    <col min="4" max="4" width="22.25" style="8" customWidth="1"/>
    <col min="5" max="5" width="9.625" style="8" customWidth="1"/>
    <col min="6" max="6" width="17.625" style="8" customWidth="1"/>
    <col min="7" max="7" width="10.375" style="8" customWidth="1"/>
    <col min="8" max="8" width="11.125" style="28" customWidth="1"/>
    <col min="9" max="9" width="12.125" style="336" customWidth="1"/>
    <col min="10" max="10" width="16" style="11" customWidth="1"/>
    <col min="11" max="11" width="14.125" style="28" customWidth="1"/>
    <col min="12" max="12" width="16.875" style="398" customWidth="1"/>
    <col min="13" max="13" width="14.125" style="398" customWidth="1"/>
    <col min="14" max="14" width="14.625" style="398" customWidth="1"/>
    <col min="15" max="15" width="17.125" style="364" customWidth="1"/>
    <col min="16" max="16" width="13.375" style="364" customWidth="1"/>
    <col min="17" max="17" width="13.375" style="365" customWidth="1"/>
    <col min="18" max="18" width="11.625" style="25" customWidth="1"/>
    <col min="19" max="19" width="12.375" style="342" customWidth="1"/>
    <col min="20" max="21" width="14.125" style="380" customWidth="1"/>
    <col min="22" max="23" width="14.125" style="8" customWidth="1"/>
    <col min="24" max="24" width="13.375" style="1" customWidth="1"/>
    <col min="25" max="26" width="13" style="1" customWidth="1"/>
    <col min="27" max="27" width="14.125" style="13" customWidth="1"/>
    <col min="28" max="28" width="14.125" style="390" customWidth="1"/>
    <col min="29" max="29" width="14.125" style="13" customWidth="1"/>
    <col min="30" max="30" width="14.125" style="25" customWidth="1"/>
    <col min="31" max="31" width="19.75" style="8" customWidth="1"/>
    <col min="32" max="16384" width="8.75" style="8"/>
  </cols>
  <sheetData>
    <row r="1" spans="1:31" ht="18">
      <c r="B1" s="231" t="s">
        <v>33</v>
      </c>
      <c r="C1" s="226" t="s">
        <v>34</v>
      </c>
      <c r="D1" s="226" t="s">
        <v>35</v>
      </c>
      <c r="E1" s="232" t="s">
        <v>36</v>
      </c>
      <c r="F1" s="233" t="s">
        <v>37</v>
      </c>
      <c r="I1" s="332" t="s">
        <v>38</v>
      </c>
      <c r="J1" s="309" t="s">
        <v>38</v>
      </c>
      <c r="K1" s="19"/>
      <c r="O1" s="365"/>
      <c r="P1" s="365"/>
    </row>
    <row r="2" spans="1:31" ht="17.25">
      <c r="B2" s="12"/>
      <c r="C2" s="21" t="s">
        <v>39</v>
      </c>
      <c r="D2" s="12"/>
      <c r="E2" s="12"/>
      <c r="F2" s="12"/>
      <c r="G2" s="12"/>
      <c r="I2" s="332" t="s">
        <v>38</v>
      </c>
      <c r="J2" s="309" t="s">
        <v>40</v>
      </c>
      <c r="K2" s="255" t="s">
        <v>41</v>
      </c>
      <c r="U2" s="408"/>
      <c r="AB2" s="409"/>
      <c r="AD2" s="410"/>
    </row>
    <row r="3" spans="1:31" s="19" customFormat="1" ht="34.5" customHeight="1">
      <c r="A3" s="9" t="s">
        <v>2</v>
      </c>
      <c r="B3" s="227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47" t="s">
        <v>48</v>
      </c>
      <c r="I3" s="333" t="s">
        <v>49</v>
      </c>
      <c r="J3" s="337" t="s">
        <v>50</v>
      </c>
      <c r="K3" s="227" t="s">
        <v>51</v>
      </c>
      <c r="L3" s="366" t="s">
        <v>52</v>
      </c>
      <c r="M3" s="366" t="s">
        <v>53</v>
      </c>
      <c r="N3" s="366" t="s">
        <v>54</v>
      </c>
      <c r="O3" s="367" t="s">
        <v>55</v>
      </c>
      <c r="P3" s="368" t="s">
        <v>56</v>
      </c>
      <c r="Q3" s="368" t="s">
        <v>57</v>
      </c>
      <c r="R3" s="46" t="s">
        <v>58</v>
      </c>
      <c r="S3" s="46" t="s">
        <v>59</v>
      </c>
      <c r="T3" s="381" t="s">
        <v>60</v>
      </c>
      <c r="U3" s="381" t="s">
        <v>61</v>
      </c>
      <c r="V3" s="340" t="s">
        <v>62</v>
      </c>
      <c r="W3" s="340" t="s">
        <v>63</v>
      </c>
      <c r="X3" s="26" t="s">
        <v>64</v>
      </c>
      <c r="Y3" s="26" t="s">
        <v>65</v>
      </c>
      <c r="Z3" s="363" t="s">
        <v>66</v>
      </c>
      <c r="AA3" s="14" t="s">
        <v>67</v>
      </c>
      <c r="AB3" s="391" t="s">
        <v>68</v>
      </c>
      <c r="AC3" s="14" t="s">
        <v>69</v>
      </c>
      <c r="AD3" s="14" t="s">
        <v>70</v>
      </c>
      <c r="AE3" s="9" t="s">
        <v>71</v>
      </c>
    </row>
    <row r="4" spans="1:31" s="55" customFormat="1" ht="15.75" customHeight="1">
      <c r="A4" s="22" t="s">
        <v>72</v>
      </c>
      <c r="B4" s="48" t="str">
        <f>VLOOKUP(A4,[1]Sheet1!$A:$B,2,0)</f>
        <v>RCS POD</v>
      </c>
      <c r="C4" s="22" t="s">
        <v>73</v>
      </c>
      <c r="D4" s="22">
        <v>390000214</v>
      </c>
      <c r="E4" s="22" t="s">
        <v>74</v>
      </c>
      <c r="F4" s="48" t="s">
        <v>75</v>
      </c>
      <c r="G4" s="49" t="s">
        <v>76</v>
      </c>
      <c r="H4" s="50">
        <v>2023</v>
      </c>
      <c r="I4" s="334">
        <v>1</v>
      </c>
      <c r="J4" s="338">
        <v>45608</v>
      </c>
      <c r="K4" s="245"/>
      <c r="L4" s="369">
        <v>0.28260000000000002</v>
      </c>
      <c r="M4" s="369">
        <v>0.30880000000000002</v>
      </c>
      <c r="N4" s="370">
        <v>2.6200000000000001E-2</v>
      </c>
      <c r="O4" s="370">
        <f>K4*N4</f>
        <v>0</v>
      </c>
      <c r="P4" s="370">
        <v>1</v>
      </c>
      <c r="Q4" s="370">
        <f>P4*L4</f>
        <v>0.28260000000000002</v>
      </c>
      <c r="R4" s="51">
        <v>9004203</v>
      </c>
      <c r="S4" s="33">
        <v>4766436</v>
      </c>
      <c r="T4" s="382">
        <v>9824000</v>
      </c>
      <c r="U4" s="382">
        <f t="shared" ref="U4:U15" si="0">T4-N4*S4</f>
        <v>9699119.3768000007</v>
      </c>
      <c r="V4" s="22" t="s">
        <v>77</v>
      </c>
      <c r="W4" s="22" t="s">
        <v>78</v>
      </c>
      <c r="X4" s="52">
        <v>3.51</v>
      </c>
      <c r="Y4" s="52" t="s">
        <v>79</v>
      </c>
      <c r="Z4" s="52"/>
      <c r="AA4" s="53"/>
      <c r="AB4" s="392">
        <f t="shared" ref="AB4:AB15" si="1">M4*R4</f>
        <v>2780497.8864000002</v>
      </c>
      <c r="AC4" s="54"/>
      <c r="AD4" s="33">
        <f t="shared" ref="AD4:AD11" si="2">R4*X4/1000</f>
        <v>31604.752529999998</v>
      </c>
      <c r="AE4" s="48"/>
    </row>
    <row r="5" spans="1:31" s="55" customFormat="1" ht="15.75" customHeight="1">
      <c r="A5" s="22" t="s">
        <v>72</v>
      </c>
      <c r="B5" s="48" t="str">
        <f>VLOOKUP(A5,[1]Sheet1!$A:$B,2,0)</f>
        <v>RCS POD</v>
      </c>
      <c r="C5" s="22" t="s">
        <v>73</v>
      </c>
      <c r="D5" s="22">
        <v>390000214</v>
      </c>
      <c r="E5" s="22" t="s">
        <v>74</v>
      </c>
      <c r="F5" s="48" t="s">
        <v>75</v>
      </c>
      <c r="G5" s="49" t="s">
        <v>76</v>
      </c>
      <c r="H5" s="50">
        <v>2023</v>
      </c>
      <c r="I5" s="334">
        <v>2</v>
      </c>
      <c r="J5" s="338">
        <v>45608</v>
      </c>
      <c r="K5" s="245"/>
      <c r="L5" s="369">
        <v>0.28260000000000002</v>
      </c>
      <c r="M5" s="369">
        <v>0.30880000000000002</v>
      </c>
      <c r="N5" s="370">
        <v>2.6200000000000001E-2</v>
      </c>
      <c r="O5" s="370">
        <f>K5*N5</f>
        <v>0</v>
      </c>
      <c r="P5" s="370">
        <v>1</v>
      </c>
      <c r="Q5" s="370">
        <f t="shared" ref="Q5:Q68" si="3">P5*L5</f>
        <v>0.28260000000000002</v>
      </c>
      <c r="R5" s="51">
        <v>9004203</v>
      </c>
      <c r="S5" s="33">
        <v>6345225</v>
      </c>
      <c r="T5" s="382">
        <v>9824000</v>
      </c>
      <c r="U5" s="382">
        <f t="shared" si="0"/>
        <v>9657755.1050000004</v>
      </c>
      <c r="V5" s="22" t="s">
        <v>77</v>
      </c>
      <c r="W5" s="22" t="s">
        <v>78</v>
      </c>
      <c r="X5" s="52">
        <v>3.51</v>
      </c>
      <c r="Y5" s="52" t="s">
        <v>79</v>
      </c>
      <c r="Z5" s="52"/>
      <c r="AA5" s="53"/>
      <c r="AB5" s="392">
        <f t="shared" si="1"/>
        <v>2780497.8864000002</v>
      </c>
      <c r="AC5" s="54"/>
      <c r="AD5" s="33">
        <f t="shared" si="2"/>
        <v>31604.752529999998</v>
      </c>
      <c r="AE5" s="48"/>
    </row>
    <row r="6" spans="1:31" s="55" customFormat="1" ht="15.75" customHeight="1">
      <c r="A6" s="22" t="s">
        <v>72</v>
      </c>
      <c r="B6" s="48" t="str">
        <f>VLOOKUP(A6,[1]Sheet1!$A:$B,2,0)</f>
        <v>RCS POD</v>
      </c>
      <c r="C6" s="22" t="s">
        <v>73</v>
      </c>
      <c r="D6" s="22">
        <v>390000214</v>
      </c>
      <c r="E6" s="22" t="s">
        <v>74</v>
      </c>
      <c r="F6" s="48" t="s">
        <v>75</v>
      </c>
      <c r="G6" s="49" t="s">
        <v>76</v>
      </c>
      <c r="H6" s="50">
        <v>2023</v>
      </c>
      <c r="I6" s="334">
        <v>3</v>
      </c>
      <c r="J6" s="338">
        <v>45608</v>
      </c>
      <c r="K6" s="246"/>
      <c r="L6" s="369">
        <v>0.28260000000000002</v>
      </c>
      <c r="M6" s="369">
        <v>0.30880000000000002</v>
      </c>
      <c r="N6" s="370">
        <v>2.6200000000000001E-2</v>
      </c>
      <c r="O6" s="370">
        <f>K6*N6</f>
        <v>0</v>
      </c>
      <c r="P6" s="370">
        <v>1</v>
      </c>
      <c r="Q6" s="370">
        <f t="shared" si="3"/>
        <v>0.28260000000000002</v>
      </c>
      <c r="R6" s="51">
        <v>9004203</v>
      </c>
      <c r="S6" s="33">
        <v>9259561</v>
      </c>
      <c r="T6" s="382">
        <v>9824000</v>
      </c>
      <c r="U6" s="382">
        <f t="shared" si="0"/>
        <v>9581399.5018000007</v>
      </c>
      <c r="V6" s="22" t="s">
        <v>77</v>
      </c>
      <c r="W6" s="22" t="s">
        <v>78</v>
      </c>
      <c r="X6" s="52">
        <v>3.51</v>
      </c>
      <c r="Y6" s="52" t="s">
        <v>79</v>
      </c>
      <c r="Z6" s="52"/>
      <c r="AA6" s="53"/>
      <c r="AB6" s="392">
        <f t="shared" si="1"/>
        <v>2780497.8864000002</v>
      </c>
      <c r="AC6" s="54"/>
      <c r="AD6" s="33">
        <f t="shared" si="2"/>
        <v>31604.752529999998</v>
      </c>
      <c r="AE6" s="48"/>
    </row>
    <row r="7" spans="1:31" s="55" customFormat="1" ht="15.75" customHeight="1">
      <c r="A7" s="22" t="s">
        <v>72</v>
      </c>
      <c r="B7" s="48" t="str">
        <f>VLOOKUP(A7,[1]Sheet1!$A:$B,2,0)</f>
        <v>RCS POD</v>
      </c>
      <c r="C7" s="22" t="s">
        <v>73</v>
      </c>
      <c r="D7" s="22">
        <v>390000214</v>
      </c>
      <c r="E7" s="22" t="s">
        <v>74</v>
      </c>
      <c r="F7" s="48" t="s">
        <v>75</v>
      </c>
      <c r="G7" s="49" t="s">
        <v>76</v>
      </c>
      <c r="H7" s="50">
        <v>2023</v>
      </c>
      <c r="I7" s="334">
        <v>4</v>
      </c>
      <c r="J7" s="338">
        <v>45608</v>
      </c>
      <c r="K7" s="247"/>
      <c r="L7" s="369">
        <v>0.28260000000000002</v>
      </c>
      <c r="M7" s="369">
        <v>0.30880000000000002</v>
      </c>
      <c r="N7" s="370">
        <v>2.6200000000000001E-2</v>
      </c>
      <c r="O7" s="370">
        <f>K7*N7</f>
        <v>0</v>
      </c>
      <c r="P7" s="370">
        <v>1</v>
      </c>
      <c r="Q7" s="370">
        <f t="shared" si="3"/>
        <v>0.28260000000000002</v>
      </c>
      <c r="R7" s="51">
        <v>9004203</v>
      </c>
      <c r="S7" s="33">
        <v>5549491</v>
      </c>
      <c r="T7" s="382">
        <v>9824000</v>
      </c>
      <c r="U7" s="382">
        <f t="shared" si="0"/>
        <v>9678603.3357999995</v>
      </c>
      <c r="V7" s="22" t="s">
        <v>77</v>
      </c>
      <c r="W7" s="22" t="s">
        <v>78</v>
      </c>
      <c r="X7" s="52">
        <v>3.51</v>
      </c>
      <c r="Y7" s="52" t="s">
        <v>79</v>
      </c>
      <c r="Z7" s="52"/>
      <c r="AA7" s="53"/>
      <c r="AB7" s="392">
        <f t="shared" si="1"/>
        <v>2780497.8864000002</v>
      </c>
      <c r="AC7" s="54"/>
      <c r="AD7" s="33">
        <f t="shared" si="2"/>
        <v>31604.752529999998</v>
      </c>
      <c r="AE7" s="48"/>
    </row>
    <row r="8" spans="1:31" s="55" customFormat="1" ht="15.75" customHeight="1">
      <c r="A8" s="22" t="s">
        <v>72</v>
      </c>
      <c r="B8" s="48" t="str">
        <f>VLOOKUP(A8,[1]Sheet1!$A:$B,2,0)</f>
        <v>RCS POD</v>
      </c>
      <c r="C8" s="22" t="s">
        <v>73</v>
      </c>
      <c r="D8" s="22">
        <v>390000214</v>
      </c>
      <c r="E8" s="22" t="s">
        <v>74</v>
      </c>
      <c r="F8" s="48" t="s">
        <v>75</v>
      </c>
      <c r="G8" s="49" t="s">
        <v>76</v>
      </c>
      <c r="H8" s="50">
        <v>2023</v>
      </c>
      <c r="I8" s="334">
        <v>5</v>
      </c>
      <c r="J8" s="338">
        <v>45608</v>
      </c>
      <c r="K8" s="246"/>
      <c r="L8" s="369">
        <v>0.28260000000000002</v>
      </c>
      <c r="M8" s="369">
        <v>0.30880000000000002</v>
      </c>
      <c r="N8" s="370">
        <v>2.6200000000000001E-2</v>
      </c>
      <c r="O8" s="370">
        <f t="shared" ref="O8:O39" si="4">K8*N8</f>
        <v>0</v>
      </c>
      <c r="P8" s="370">
        <v>1</v>
      </c>
      <c r="Q8" s="370">
        <f t="shared" si="3"/>
        <v>0.28260000000000002</v>
      </c>
      <c r="R8" s="51">
        <v>9004203</v>
      </c>
      <c r="S8" s="33">
        <v>4331636</v>
      </c>
      <c r="T8" s="382">
        <v>9824000</v>
      </c>
      <c r="U8" s="382">
        <f t="shared" si="0"/>
        <v>9710511.1368000004</v>
      </c>
      <c r="V8" s="22" t="s">
        <v>77</v>
      </c>
      <c r="W8" s="22" t="s">
        <v>78</v>
      </c>
      <c r="X8" s="52">
        <v>3.51</v>
      </c>
      <c r="Y8" s="52" t="s">
        <v>79</v>
      </c>
      <c r="Z8" s="52"/>
      <c r="AA8" s="53"/>
      <c r="AB8" s="392">
        <f t="shared" si="1"/>
        <v>2780497.8864000002</v>
      </c>
      <c r="AC8" s="54"/>
      <c r="AD8" s="33">
        <f t="shared" si="2"/>
        <v>31604.752529999998</v>
      </c>
      <c r="AE8" s="48"/>
    </row>
    <row r="9" spans="1:31" s="55" customFormat="1" ht="15.75" customHeight="1">
      <c r="A9" s="22" t="s">
        <v>72</v>
      </c>
      <c r="B9" s="48" t="str">
        <f>VLOOKUP(A9,[1]Sheet1!$A:$B,2,0)</f>
        <v>RCS POD</v>
      </c>
      <c r="C9" s="22" t="s">
        <v>73</v>
      </c>
      <c r="D9" s="22">
        <v>390000214</v>
      </c>
      <c r="E9" s="22" t="s">
        <v>74</v>
      </c>
      <c r="F9" s="48" t="s">
        <v>75</v>
      </c>
      <c r="G9" s="49" t="s">
        <v>76</v>
      </c>
      <c r="H9" s="50">
        <v>2023</v>
      </c>
      <c r="I9" s="334">
        <v>6</v>
      </c>
      <c r="J9" s="338">
        <v>45608</v>
      </c>
      <c r="K9" s="246"/>
      <c r="L9" s="369">
        <v>0.28260000000000002</v>
      </c>
      <c r="M9" s="369">
        <v>0.30880000000000002</v>
      </c>
      <c r="N9" s="370">
        <v>2.6200000000000001E-2</v>
      </c>
      <c r="O9" s="370">
        <f t="shared" si="4"/>
        <v>0</v>
      </c>
      <c r="P9" s="370">
        <v>1</v>
      </c>
      <c r="Q9" s="370">
        <f t="shared" si="3"/>
        <v>0.28260000000000002</v>
      </c>
      <c r="R9" s="51">
        <v>9004203</v>
      </c>
      <c r="S9" s="33">
        <v>8405801</v>
      </c>
      <c r="T9" s="382">
        <v>9824000</v>
      </c>
      <c r="U9" s="382">
        <f t="shared" si="0"/>
        <v>9603768.0138000008</v>
      </c>
      <c r="V9" s="22" t="s">
        <v>77</v>
      </c>
      <c r="W9" s="22" t="s">
        <v>78</v>
      </c>
      <c r="X9" s="52">
        <v>3.51</v>
      </c>
      <c r="Y9" s="52" t="s">
        <v>79</v>
      </c>
      <c r="Z9" s="52"/>
      <c r="AA9" s="53"/>
      <c r="AB9" s="392">
        <f t="shared" si="1"/>
        <v>2780497.8864000002</v>
      </c>
      <c r="AC9" s="54"/>
      <c r="AD9" s="33">
        <f t="shared" si="2"/>
        <v>31604.752529999998</v>
      </c>
      <c r="AE9" s="48"/>
    </row>
    <row r="10" spans="1:31" s="55" customFormat="1" ht="15.75" customHeight="1">
      <c r="A10" s="22" t="s">
        <v>72</v>
      </c>
      <c r="B10" s="48" t="str">
        <f>VLOOKUP(A10,[1]Sheet1!$A:$B,2,0)</f>
        <v>RCS POD</v>
      </c>
      <c r="C10" s="22" t="s">
        <v>73</v>
      </c>
      <c r="D10" s="22">
        <v>390000214</v>
      </c>
      <c r="E10" s="22" t="s">
        <v>74</v>
      </c>
      <c r="F10" s="48" t="s">
        <v>75</v>
      </c>
      <c r="G10" s="49" t="s">
        <v>76</v>
      </c>
      <c r="H10" s="50">
        <v>2023</v>
      </c>
      <c r="I10" s="334">
        <v>7</v>
      </c>
      <c r="J10" s="338">
        <v>45608</v>
      </c>
      <c r="K10" s="246"/>
      <c r="L10" s="369">
        <v>0.28260000000000002</v>
      </c>
      <c r="M10" s="369">
        <v>0.30880000000000002</v>
      </c>
      <c r="N10" s="370">
        <v>2.6200000000000001E-2</v>
      </c>
      <c r="O10" s="370">
        <f t="shared" si="4"/>
        <v>0</v>
      </c>
      <c r="P10" s="370">
        <v>1</v>
      </c>
      <c r="Q10" s="370">
        <f t="shared" si="3"/>
        <v>0.28260000000000002</v>
      </c>
      <c r="R10" s="51">
        <v>9004203</v>
      </c>
      <c r="S10" s="33">
        <v>6748591</v>
      </c>
      <c r="T10" s="382">
        <v>9824000</v>
      </c>
      <c r="U10" s="382">
        <f t="shared" si="0"/>
        <v>9647186.9157999996</v>
      </c>
      <c r="V10" s="22" t="s">
        <v>77</v>
      </c>
      <c r="W10" s="22" t="s">
        <v>78</v>
      </c>
      <c r="X10" s="52">
        <v>3.51</v>
      </c>
      <c r="Y10" s="52" t="s">
        <v>79</v>
      </c>
      <c r="Z10" s="52"/>
      <c r="AA10" s="53"/>
      <c r="AB10" s="392">
        <f t="shared" si="1"/>
        <v>2780497.8864000002</v>
      </c>
      <c r="AC10" s="54"/>
      <c r="AD10" s="33">
        <f t="shared" si="2"/>
        <v>31604.752529999998</v>
      </c>
      <c r="AE10" s="48"/>
    </row>
    <row r="11" spans="1:31" s="55" customFormat="1" ht="15.75" customHeight="1">
      <c r="A11" s="22" t="s">
        <v>72</v>
      </c>
      <c r="B11" s="48" t="str">
        <f>VLOOKUP(A11,[1]Sheet1!$A:$B,2,0)</f>
        <v>RCS POD</v>
      </c>
      <c r="C11" s="22" t="s">
        <v>73</v>
      </c>
      <c r="D11" s="22">
        <v>390000214</v>
      </c>
      <c r="E11" s="22" t="s">
        <v>74</v>
      </c>
      <c r="F11" s="48" t="s">
        <v>75</v>
      </c>
      <c r="G11" s="49" t="s">
        <v>76</v>
      </c>
      <c r="H11" s="50">
        <v>2023</v>
      </c>
      <c r="I11" s="334">
        <v>8</v>
      </c>
      <c r="J11" s="338">
        <v>45608</v>
      </c>
      <c r="K11" s="246"/>
      <c r="L11" s="369">
        <v>0.28260000000000002</v>
      </c>
      <c r="M11" s="369">
        <v>0.30880000000000002</v>
      </c>
      <c r="N11" s="370">
        <v>2.6200000000000001E-2</v>
      </c>
      <c r="O11" s="370">
        <f t="shared" si="4"/>
        <v>0</v>
      </c>
      <c r="P11" s="370">
        <v>1</v>
      </c>
      <c r="Q11" s="370">
        <f t="shared" si="3"/>
        <v>0.28260000000000002</v>
      </c>
      <c r="R11" s="51">
        <v>9004203</v>
      </c>
      <c r="S11" s="33">
        <v>7449452</v>
      </c>
      <c r="T11" s="382">
        <v>9824000</v>
      </c>
      <c r="U11" s="382">
        <f t="shared" si="0"/>
        <v>9628824.3575999998</v>
      </c>
      <c r="V11" s="22" t="s">
        <v>77</v>
      </c>
      <c r="W11" s="22" t="s">
        <v>78</v>
      </c>
      <c r="X11" s="52">
        <v>3.51</v>
      </c>
      <c r="Y11" s="52" t="s">
        <v>79</v>
      </c>
      <c r="Z11" s="52"/>
      <c r="AA11" s="53"/>
      <c r="AB11" s="392">
        <f t="shared" si="1"/>
        <v>2780497.8864000002</v>
      </c>
      <c r="AC11" s="54"/>
      <c r="AD11" s="33">
        <f t="shared" si="2"/>
        <v>31604.752529999998</v>
      </c>
      <c r="AE11" s="48"/>
    </row>
    <row r="12" spans="1:31" s="55" customFormat="1" ht="15.75" customHeight="1">
      <c r="A12" s="22" t="s">
        <v>72</v>
      </c>
      <c r="B12" s="48" t="str">
        <f>VLOOKUP(A12,[1]Sheet1!$A:$B,2,0)</f>
        <v>RCS POD</v>
      </c>
      <c r="C12" s="22" t="s">
        <v>73</v>
      </c>
      <c r="D12" s="22">
        <v>390000214</v>
      </c>
      <c r="E12" s="22" t="s">
        <v>74</v>
      </c>
      <c r="F12" s="48" t="s">
        <v>75</v>
      </c>
      <c r="G12" s="49" t="s">
        <v>76</v>
      </c>
      <c r="H12" s="50">
        <v>2023</v>
      </c>
      <c r="I12" s="334">
        <v>9</v>
      </c>
      <c r="J12" s="338">
        <v>45608</v>
      </c>
      <c r="K12" s="246"/>
      <c r="L12" s="369">
        <v>0.28260000000000002</v>
      </c>
      <c r="M12" s="369">
        <v>0.30880000000000002</v>
      </c>
      <c r="N12" s="370">
        <v>2.6200000000000001E-2</v>
      </c>
      <c r="O12" s="370">
        <f t="shared" si="4"/>
        <v>0</v>
      </c>
      <c r="P12" s="370">
        <v>1</v>
      </c>
      <c r="Q12" s="370">
        <f t="shared" si="3"/>
        <v>0.28260000000000002</v>
      </c>
      <c r="R12" s="51">
        <v>9004203</v>
      </c>
      <c r="S12" s="33">
        <v>10255037</v>
      </c>
      <c r="T12" s="382">
        <v>9824000</v>
      </c>
      <c r="U12" s="382">
        <f>T12-N12*S12</f>
        <v>9555318.0306000002</v>
      </c>
      <c r="V12" s="22" t="s">
        <v>77</v>
      </c>
      <c r="W12" s="22" t="s">
        <v>78</v>
      </c>
      <c r="X12" s="52">
        <v>3.51</v>
      </c>
      <c r="Y12" s="52" t="s">
        <v>79</v>
      </c>
      <c r="Z12" s="52"/>
      <c r="AA12" s="53"/>
      <c r="AB12" s="392">
        <f t="shared" si="1"/>
        <v>2780497.8864000002</v>
      </c>
      <c r="AC12" s="54"/>
      <c r="AD12" s="33">
        <f t="shared" ref="AD12:AD16" si="5">R12*X12/1000</f>
        <v>31604.752529999998</v>
      </c>
      <c r="AE12" s="48"/>
    </row>
    <row r="13" spans="1:31" s="55" customFormat="1" ht="15.75" customHeight="1">
      <c r="A13" s="22" t="s">
        <v>72</v>
      </c>
      <c r="B13" s="48" t="str">
        <f>VLOOKUP(A13,[1]Sheet1!$A:$B,2,0)</f>
        <v>RCS POD</v>
      </c>
      <c r="C13" s="22" t="s">
        <v>73</v>
      </c>
      <c r="D13" s="22">
        <v>390000214</v>
      </c>
      <c r="E13" s="22" t="s">
        <v>74</v>
      </c>
      <c r="F13" s="48" t="s">
        <v>75</v>
      </c>
      <c r="G13" s="49" t="s">
        <v>76</v>
      </c>
      <c r="H13" s="50">
        <v>2023</v>
      </c>
      <c r="I13" s="334">
        <v>10</v>
      </c>
      <c r="J13" s="338">
        <v>45608</v>
      </c>
      <c r="K13" s="246"/>
      <c r="L13" s="369">
        <v>0.28260000000000002</v>
      </c>
      <c r="M13" s="369">
        <v>0.30880000000000002</v>
      </c>
      <c r="N13" s="370">
        <v>2.6200000000000001E-2</v>
      </c>
      <c r="O13" s="370">
        <f t="shared" si="4"/>
        <v>0</v>
      </c>
      <c r="P13" s="370">
        <v>1</v>
      </c>
      <c r="Q13" s="370">
        <f t="shared" si="3"/>
        <v>0.28260000000000002</v>
      </c>
      <c r="R13" s="51">
        <v>9004203</v>
      </c>
      <c r="S13" s="33">
        <v>6439689</v>
      </c>
      <c r="T13" s="382">
        <v>9824000</v>
      </c>
      <c r="U13" s="382">
        <f t="shared" si="0"/>
        <v>9655280.1481999997</v>
      </c>
      <c r="V13" s="22" t="s">
        <v>77</v>
      </c>
      <c r="W13" s="22" t="s">
        <v>78</v>
      </c>
      <c r="X13" s="52">
        <v>3.51</v>
      </c>
      <c r="Y13" s="52" t="s">
        <v>79</v>
      </c>
      <c r="Z13" s="52"/>
      <c r="AA13" s="53"/>
      <c r="AB13" s="392">
        <f t="shared" si="1"/>
        <v>2780497.8864000002</v>
      </c>
      <c r="AC13" s="54"/>
      <c r="AD13" s="33">
        <f t="shared" si="5"/>
        <v>31604.752529999998</v>
      </c>
      <c r="AE13" s="48"/>
    </row>
    <row r="14" spans="1:31" s="55" customFormat="1" ht="15.75" customHeight="1">
      <c r="A14" s="22" t="s">
        <v>72</v>
      </c>
      <c r="B14" s="48" t="str">
        <f>VLOOKUP(A14,[1]Sheet1!$A:$B,2,0)</f>
        <v>RCS POD</v>
      </c>
      <c r="C14" s="22" t="s">
        <v>73</v>
      </c>
      <c r="D14" s="22">
        <v>390000214</v>
      </c>
      <c r="E14" s="22" t="s">
        <v>74</v>
      </c>
      <c r="F14" s="48" t="s">
        <v>75</v>
      </c>
      <c r="G14" s="49" t="s">
        <v>76</v>
      </c>
      <c r="H14" s="50">
        <v>2023</v>
      </c>
      <c r="I14" s="334">
        <v>11</v>
      </c>
      <c r="J14" s="338">
        <v>45608</v>
      </c>
      <c r="K14" s="245"/>
      <c r="L14" s="369">
        <v>0.28260000000000002</v>
      </c>
      <c r="M14" s="369">
        <v>0.30880000000000002</v>
      </c>
      <c r="N14" s="370">
        <v>2.6200000000000001E-2</v>
      </c>
      <c r="O14" s="370">
        <f t="shared" si="4"/>
        <v>0</v>
      </c>
      <c r="P14" s="370">
        <v>1</v>
      </c>
      <c r="Q14" s="370">
        <f t="shared" si="3"/>
        <v>0.28260000000000002</v>
      </c>
      <c r="R14" s="51">
        <v>9004203</v>
      </c>
      <c r="S14" s="33">
        <v>4577797</v>
      </c>
      <c r="T14" s="382">
        <v>9824000</v>
      </c>
      <c r="U14" s="382">
        <f t="shared" si="0"/>
        <v>9704061.7185999993</v>
      </c>
      <c r="V14" s="22" t="s">
        <v>77</v>
      </c>
      <c r="W14" s="22" t="s">
        <v>78</v>
      </c>
      <c r="X14" s="52">
        <v>3.51</v>
      </c>
      <c r="Y14" s="52" t="s">
        <v>79</v>
      </c>
      <c r="Z14" s="52"/>
      <c r="AA14" s="53"/>
      <c r="AB14" s="392">
        <f t="shared" si="1"/>
        <v>2780497.8864000002</v>
      </c>
      <c r="AC14" s="54"/>
      <c r="AD14" s="33">
        <f t="shared" si="5"/>
        <v>31604.752529999998</v>
      </c>
      <c r="AE14" s="48"/>
    </row>
    <row r="15" spans="1:31" s="55" customFormat="1" ht="15.75" customHeight="1">
      <c r="A15" s="22" t="s">
        <v>72</v>
      </c>
      <c r="B15" s="48" t="str">
        <f>VLOOKUP(A15,[1]Sheet1!$A:$B,2,0)</f>
        <v>RCS POD</v>
      </c>
      <c r="C15" s="22" t="s">
        <v>73</v>
      </c>
      <c r="D15" s="22">
        <v>390000214</v>
      </c>
      <c r="E15" s="22" t="s">
        <v>74</v>
      </c>
      <c r="F15" s="48" t="s">
        <v>75</v>
      </c>
      <c r="G15" s="49" t="s">
        <v>76</v>
      </c>
      <c r="H15" s="50">
        <v>2023</v>
      </c>
      <c r="I15" s="334">
        <v>12</v>
      </c>
      <c r="J15" s="338">
        <v>45608</v>
      </c>
      <c r="K15" s="245"/>
      <c r="L15" s="369">
        <v>0.28260000000000002</v>
      </c>
      <c r="M15" s="369">
        <v>0.30880000000000002</v>
      </c>
      <c r="N15" s="370">
        <v>2.6200000000000001E-2</v>
      </c>
      <c r="O15" s="370">
        <f t="shared" si="4"/>
        <v>0</v>
      </c>
      <c r="P15" s="370">
        <v>1</v>
      </c>
      <c r="Q15" s="370">
        <f t="shared" si="3"/>
        <v>0.28260000000000002</v>
      </c>
      <c r="R15" s="51">
        <v>9004203</v>
      </c>
      <c r="S15" s="33">
        <v>4550628</v>
      </c>
      <c r="T15" s="382">
        <v>9824000</v>
      </c>
      <c r="U15" s="382">
        <f t="shared" si="0"/>
        <v>9704773.5463999994</v>
      </c>
      <c r="V15" s="22" t="s">
        <v>77</v>
      </c>
      <c r="W15" s="22" t="s">
        <v>78</v>
      </c>
      <c r="X15" s="52">
        <v>3.51</v>
      </c>
      <c r="Y15" s="52" t="s">
        <v>79</v>
      </c>
      <c r="Z15" s="52"/>
      <c r="AA15" s="53"/>
      <c r="AB15" s="392">
        <f t="shared" si="1"/>
        <v>2780497.8864000002</v>
      </c>
      <c r="AC15" s="54"/>
      <c r="AD15" s="33">
        <f t="shared" si="5"/>
        <v>31604.752529999998</v>
      </c>
      <c r="AE15" s="48"/>
    </row>
    <row r="16" spans="1:31" s="55" customFormat="1" ht="15.75" customHeight="1">
      <c r="A16" s="22" t="s">
        <v>80</v>
      </c>
      <c r="B16" s="48" t="str">
        <f>VLOOKUP(A16,[1]Sheet1!$A:$B,2,0)</f>
        <v>RCS POD</v>
      </c>
      <c r="C16" s="248" t="s">
        <v>81</v>
      </c>
      <c r="D16" s="22">
        <v>390000221</v>
      </c>
      <c r="E16" s="22" t="s">
        <v>74</v>
      </c>
      <c r="F16" s="48" t="s">
        <v>75</v>
      </c>
      <c r="G16" s="49" t="s">
        <v>76</v>
      </c>
      <c r="H16" s="50">
        <v>2023</v>
      </c>
      <c r="I16" s="334">
        <v>1</v>
      </c>
      <c r="J16" s="338">
        <v>45608</v>
      </c>
      <c r="K16" s="245"/>
      <c r="L16" s="369">
        <v>0.1016</v>
      </c>
      <c r="M16" s="369">
        <v>0.1278</v>
      </c>
      <c r="N16" s="370">
        <v>2.6200000000000001E-2</v>
      </c>
      <c r="O16" s="370">
        <f t="shared" si="4"/>
        <v>0</v>
      </c>
      <c r="P16" s="370">
        <v>1</v>
      </c>
      <c r="Q16" s="370">
        <f t="shared" si="3"/>
        <v>0.1016</v>
      </c>
      <c r="R16" s="51">
        <v>3210672</v>
      </c>
      <c r="S16" s="33">
        <v>3210672</v>
      </c>
      <c r="T16" s="382">
        <v>4280500</v>
      </c>
      <c r="U16" s="382">
        <f t="shared" ref="U16" si="6">T16-N16*S16</f>
        <v>4196380.3936000001</v>
      </c>
      <c r="V16" s="22" t="s">
        <v>82</v>
      </c>
      <c r="W16" s="22" t="s">
        <v>78</v>
      </c>
      <c r="X16" s="52">
        <v>1.4</v>
      </c>
      <c r="Y16" s="52" t="s">
        <v>83</v>
      </c>
      <c r="Z16" s="52"/>
      <c r="AA16" s="53"/>
      <c r="AB16" s="392">
        <f t="shared" ref="AB16" si="7">M16*R16</f>
        <v>410323.88159999996</v>
      </c>
      <c r="AC16" s="54"/>
      <c r="AD16" s="33">
        <f t="shared" si="5"/>
        <v>4494.9407999999994</v>
      </c>
      <c r="AE16" s="48"/>
    </row>
    <row r="17" spans="1:31" s="55" customFormat="1" ht="15.75" customHeight="1">
      <c r="A17" s="22" t="s">
        <v>80</v>
      </c>
      <c r="B17" s="48" t="str">
        <f>VLOOKUP(A17,[1]Sheet1!$A:$B,2,0)</f>
        <v>RCS POD</v>
      </c>
      <c r="C17" s="248" t="s">
        <v>81</v>
      </c>
      <c r="D17" s="22">
        <v>390000221</v>
      </c>
      <c r="E17" s="22" t="s">
        <v>74</v>
      </c>
      <c r="F17" s="48" t="s">
        <v>75</v>
      </c>
      <c r="G17" s="49" t="s">
        <v>76</v>
      </c>
      <c r="H17" s="50">
        <v>2023</v>
      </c>
      <c r="I17" s="334">
        <v>2</v>
      </c>
      <c r="J17" s="338">
        <v>45608</v>
      </c>
      <c r="K17" s="245"/>
      <c r="L17" s="369">
        <v>0.1016</v>
      </c>
      <c r="M17" s="369">
        <v>0.1278</v>
      </c>
      <c r="N17" s="370">
        <v>2.6200000000000001E-2</v>
      </c>
      <c r="O17" s="370">
        <f t="shared" si="4"/>
        <v>0</v>
      </c>
      <c r="P17" s="370">
        <v>1</v>
      </c>
      <c r="Q17" s="370">
        <f t="shared" si="3"/>
        <v>0.1016</v>
      </c>
      <c r="R17" s="51">
        <v>8007415</v>
      </c>
      <c r="S17" s="33">
        <v>11218087</v>
      </c>
      <c r="T17" s="382">
        <v>4280500</v>
      </c>
      <c r="U17" s="382">
        <f t="shared" ref="U17:U18" si="8">T17-N17*S17</f>
        <v>3986586.1206</v>
      </c>
      <c r="V17" s="22" t="s">
        <v>82</v>
      </c>
      <c r="W17" s="22" t="s">
        <v>78</v>
      </c>
      <c r="X17" s="52">
        <v>1.4</v>
      </c>
      <c r="Y17" s="52" t="s">
        <v>83</v>
      </c>
      <c r="Z17" s="52"/>
      <c r="AA17" s="53"/>
      <c r="AB17" s="392">
        <f t="shared" ref="AB17:AB18" si="9">M17*R17</f>
        <v>1023347.637</v>
      </c>
      <c r="AC17" s="54"/>
      <c r="AD17" s="33">
        <f t="shared" ref="AD17:AD18" si="10">R17*X17/1000</f>
        <v>11210.380999999999</v>
      </c>
      <c r="AE17" s="48"/>
    </row>
    <row r="18" spans="1:31" s="55" customFormat="1" ht="15.75" customHeight="1">
      <c r="A18" s="22" t="s">
        <v>80</v>
      </c>
      <c r="B18" s="48" t="str">
        <f>VLOOKUP(A18,[1]Sheet1!$A:$B,2,0)</f>
        <v>RCS POD</v>
      </c>
      <c r="C18" s="248" t="s">
        <v>81</v>
      </c>
      <c r="D18" s="22">
        <v>390000221</v>
      </c>
      <c r="E18" s="22" t="s">
        <v>74</v>
      </c>
      <c r="F18" s="48" t="s">
        <v>75</v>
      </c>
      <c r="G18" s="49" t="s">
        <v>76</v>
      </c>
      <c r="H18" s="50">
        <v>2023</v>
      </c>
      <c r="I18" s="334">
        <v>3</v>
      </c>
      <c r="J18" s="338">
        <v>45608</v>
      </c>
      <c r="K18" s="245"/>
      <c r="L18" s="369">
        <v>0.1016</v>
      </c>
      <c r="M18" s="369">
        <v>0.1278</v>
      </c>
      <c r="N18" s="370">
        <v>2.6200000000000001E-2</v>
      </c>
      <c r="O18" s="370">
        <f t="shared" si="4"/>
        <v>0</v>
      </c>
      <c r="P18" s="370">
        <v>1</v>
      </c>
      <c r="Q18" s="370">
        <f t="shared" si="3"/>
        <v>0.1016</v>
      </c>
      <c r="R18" s="51">
        <v>9786609</v>
      </c>
      <c r="S18" s="33">
        <v>21004696</v>
      </c>
      <c r="T18" s="382">
        <v>4280500</v>
      </c>
      <c r="U18" s="382">
        <f t="shared" si="8"/>
        <v>3730176.9648000002</v>
      </c>
      <c r="V18" s="22" t="s">
        <v>82</v>
      </c>
      <c r="W18" s="22" t="s">
        <v>78</v>
      </c>
      <c r="X18" s="52">
        <v>1.4</v>
      </c>
      <c r="Y18" s="52" t="s">
        <v>83</v>
      </c>
      <c r="Z18" s="52"/>
      <c r="AA18" s="53"/>
      <c r="AB18" s="392">
        <f t="shared" si="9"/>
        <v>1250728.6302</v>
      </c>
      <c r="AC18" s="54"/>
      <c r="AD18" s="33">
        <f t="shared" si="10"/>
        <v>13701.2526</v>
      </c>
      <c r="AE18" s="48"/>
    </row>
    <row r="19" spans="1:31" s="55" customFormat="1" ht="15.75" customHeight="1">
      <c r="A19" s="22" t="s">
        <v>80</v>
      </c>
      <c r="B19" s="48" t="str">
        <f>VLOOKUP(A19,[1]Sheet1!$A:$B,2,0)</f>
        <v>RCS POD</v>
      </c>
      <c r="C19" s="248" t="s">
        <v>81</v>
      </c>
      <c r="D19" s="22">
        <v>390000221</v>
      </c>
      <c r="E19" s="22" t="s">
        <v>74</v>
      </c>
      <c r="F19" s="48" t="s">
        <v>75</v>
      </c>
      <c r="G19" s="49" t="s">
        <v>76</v>
      </c>
      <c r="H19" s="50">
        <v>2023</v>
      </c>
      <c r="I19" s="334">
        <v>4</v>
      </c>
      <c r="J19" s="338">
        <v>45608</v>
      </c>
      <c r="K19" s="245"/>
      <c r="L19" s="369">
        <v>0.1016</v>
      </c>
      <c r="M19" s="369">
        <v>0.1278</v>
      </c>
      <c r="N19" s="370">
        <v>2.6200000000000001E-2</v>
      </c>
      <c r="O19" s="370">
        <f t="shared" si="4"/>
        <v>0</v>
      </c>
      <c r="P19" s="370">
        <v>1</v>
      </c>
      <c r="Q19" s="370">
        <f t="shared" si="3"/>
        <v>0.1016</v>
      </c>
      <c r="R19" s="51">
        <v>5329652</v>
      </c>
      <c r="S19" s="33">
        <v>26334348</v>
      </c>
      <c r="T19" s="382">
        <v>4280500</v>
      </c>
      <c r="U19" s="382">
        <f t="shared" ref="U19:U22" si="11">T19-N19*S19</f>
        <v>3590540.0823999997</v>
      </c>
      <c r="V19" s="22" t="s">
        <v>82</v>
      </c>
      <c r="W19" s="22" t="s">
        <v>78</v>
      </c>
      <c r="X19" s="52">
        <v>1.4</v>
      </c>
      <c r="Y19" s="52" t="s">
        <v>83</v>
      </c>
      <c r="Z19" s="52"/>
      <c r="AA19" s="53"/>
      <c r="AB19" s="392">
        <f t="shared" ref="AB19:AB22" si="12">M19*R19</f>
        <v>681129.52559999994</v>
      </c>
      <c r="AC19" s="54"/>
      <c r="AD19" s="33">
        <f t="shared" ref="AD19:AD22" si="13">R19*X19/1000</f>
        <v>7461.5127999999995</v>
      </c>
      <c r="AE19" s="48"/>
    </row>
    <row r="20" spans="1:31" s="55" customFormat="1" ht="15.75" customHeight="1">
      <c r="A20" s="22" t="s">
        <v>80</v>
      </c>
      <c r="B20" s="48" t="str">
        <f>VLOOKUP(A20,[1]Sheet1!$A:$B,2,0)</f>
        <v>RCS POD</v>
      </c>
      <c r="C20" s="248" t="s">
        <v>81</v>
      </c>
      <c r="D20" s="22">
        <v>390000221</v>
      </c>
      <c r="E20" s="22" t="s">
        <v>74</v>
      </c>
      <c r="F20" s="48" t="s">
        <v>75</v>
      </c>
      <c r="G20" s="49" t="s">
        <v>76</v>
      </c>
      <c r="H20" s="50">
        <v>2023</v>
      </c>
      <c r="I20" s="334">
        <v>5</v>
      </c>
      <c r="J20" s="338">
        <v>45608</v>
      </c>
      <c r="K20" s="245"/>
      <c r="L20" s="369">
        <v>0.1016</v>
      </c>
      <c r="M20" s="369">
        <v>0.1278</v>
      </c>
      <c r="N20" s="370">
        <v>2.6200000000000001E-2</v>
      </c>
      <c r="O20" s="370">
        <f t="shared" si="4"/>
        <v>0</v>
      </c>
      <c r="P20" s="370">
        <v>1</v>
      </c>
      <c r="Q20" s="370">
        <f t="shared" si="3"/>
        <v>0.1016</v>
      </c>
      <c r="R20" s="51">
        <v>4032132</v>
      </c>
      <c r="S20" s="33">
        <v>30366480</v>
      </c>
      <c r="T20" s="382">
        <v>4280500</v>
      </c>
      <c r="U20" s="382">
        <f t="shared" si="11"/>
        <v>3484898.2239999999</v>
      </c>
      <c r="V20" s="22" t="s">
        <v>82</v>
      </c>
      <c r="W20" s="22" t="s">
        <v>78</v>
      </c>
      <c r="X20" s="52">
        <v>1.4</v>
      </c>
      <c r="Y20" s="52" t="s">
        <v>83</v>
      </c>
      <c r="Z20" s="52"/>
      <c r="AA20" s="53"/>
      <c r="AB20" s="392">
        <f t="shared" si="12"/>
        <v>515306.46960000001</v>
      </c>
      <c r="AC20" s="54"/>
      <c r="AD20" s="33">
        <f t="shared" si="13"/>
        <v>5644.9848000000002</v>
      </c>
      <c r="AE20" s="48"/>
    </row>
    <row r="21" spans="1:31" s="55" customFormat="1" ht="15.75" customHeight="1">
      <c r="A21" s="22" t="s">
        <v>80</v>
      </c>
      <c r="B21" s="48" t="str">
        <f>VLOOKUP(A21,[1]Sheet1!$A:$B,2,0)</f>
        <v>RCS POD</v>
      </c>
      <c r="C21" s="248" t="s">
        <v>81</v>
      </c>
      <c r="D21" s="22">
        <v>390000221</v>
      </c>
      <c r="E21" s="22" t="s">
        <v>74</v>
      </c>
      <c r="F21" s="48" t="s">
        <v>75</v>
      </c>
      <c r="G21" s="49" t="s">
        <v>76</v>
      </c>
      <c r="H21" s="50">
        <v>2023</v>
      </c>
      <c r="I21" s="334">
        <v>6</v>
      </c>
      <c r="J21" s="338">
        <v>45608</v>
      </c>
      <c r="K21" s="245"/>
      <c r="L21" s="369">
        <v>0.1016</v>
      </c>
      <c r="M21" s="369">
        <v>0.1278</v>
      </c>
      <c r="N21" s="370">
        <v>2.6200000000000001E-2</v>
      </c>
      <c r="O21" s="370">
        <f t="shared" si="4"/>
        <v>0</v>
      </c>
      <c r="P21" s="370">
        <v>1</v>
      </c>
      <c r="Q21" s="370">
        <f t="shared" si="3"/>
        <v>0.1016</v>
      </c>
      <c r="R21" s="51">
        <v>7598859</v>
      </c>
      <c r="S21" s="33">
        <v>37965339</v>
      </c>
      <c r="T21" s="382">
        <v>4280500</v>
      </c>
      <c r="U21" s="382">
        <f t="shared" si="11"/>
        <v>3285808.1181999999</v>
      </c>
      <c r="V21" s="22" t="s">
        <v>82</v>
      </c>
      <c r="W21" s="22" t="s">
        <v>78</v>
      </c>
      <c r="X21" s="52">
        <v>1.4</v>
      </c>
      <c r="Y21" s="52" t="s">
        <v>83</v>
      </c>
      <c r="Z21" s="52"/>
      <c r="AA21" s="53"/>
      <c r="AB21" s="392">
        <f t="shared" si="12"/>
        <v>971134.18019999994</v>
      </c>
      <c r="AC21" s="54"/>
      <c r="AD21" s="33">
        <f t="shared" si="13"/>
        <v>10638.402599999999</v>
      </c>
      <c r="AE21" s="48"/>
    </row>
    <row r="22" spans="1:31" s="55" customFormat="1" ht="15.75" customHeight="1">
      <c r="A22" s="22" t="s">
        <v>80</v>
      </c>
      <c r="B22" s="48" t="str">
        <f>VLOOKUP(A22,[1]Sheet1!$A:$B,2,0)</f>
        <v>RCS POD</v>
      </c>
      <c r="C22" s="248" t="s">
        <v>81</v>
      </c>
      <c r="D22" s="22">
        <v>390000221</v>
      </c>
      <c r="E22" s="22" t="s">
        <v>74</v>
      </c>
      <c r="F22" s="48" t="s">
        <v>75</v>
      </c>
      <c r="G22" s="49" t="s">
        <v>76</v>
      </c>
      <c r="H22" s="50">
        <v>2023</v>
      </c>
      <c r="I22" s="334">
        <v>7</v>
      </c>
      <c r="J22" s="338">
        <v>45608</v>
      </c>
      <c r="K22" s="245"/>
      <c r="L22" s="369">
        <v>0.1016</v>
      </c>
      <c r="M22" s="369">
        <v>0.1278</v>
      </c>
      <c r="N22" s="370">
        <v>2.6200000000000001E-2</v>
      </c>
      <c r="O22" s="370">
        <f t="shared" si="4"/>
        <v>0</v>
      </c>
      <c r="P22" s="370">
        <v>1</v>
      </c>
      <c r="Q22" s="370">
        <f t="shared" si="3"/>
        <v>0.1016</v>
      </c>
      <c r="R22" s="51">
        <v>5367834</v>
      </c>
      <c r="S22" s="33">
        <v>43333173</v>
      </c>
      <c r="T22" s="382">
        <v>4280500</v>
      </c>
      <c r="U22" s="382">
        <f t="shared" si="11"/>
        <v>3145170.8673999999</v>
      </c>
      <c r="V22" s="22" t="s">
        <v>82</v>
      </c>
      <c r="W22" s="22" t="s">
        <v>78</v>
      </c>
      <c r="X22" s="52">
        <v>1.4</v>
      </c>
      <c r="Y22" s="52" t="s">
        <v>83</v>
      </c>
      <c r="Z22" s="52"/>
      <c r="AA22" s="53"/>
      <c r="AB22" s="392">
        <f t="shared" si="12"/>
        <v>686009.18519999995</v>
      </c>
      <c r="AC22" s="54"/>
      <c r="AD22" s="33">
        <f t="shared" si="13"/>
        <v>7514.9675999999999</v>
      </c>
      <c r="AE22" s="48"/>
    </row>
    <row r="23" spans="1:31" s="55" customFormat="1" ht="15.75" customHeight="1">
      <c r="A23" s="22" t="s">
        <v>80</v>
      </c>
      <c r="B23" s="48" t="str">
        <f>VLOOKUP(A23,[1]Sheet1!$A:$B,2,0)</f>
        <v>RCS POD</v>
      </c>
      <c r="C23" s="248" t="s">
        <v>81</v>
      </c>
      <c r="D23" s="22">
        <v>390000221</v>
      </c>
      <c r="E23" s="22" t="s">
        <v>74</v>
      </c>
      <c r="F23" s="48" t="s">
        <v>75</v>
      </c>
      <c r="G23" s="49" t="s">
        <v>76</v>
      </c>
      <c r="H23" s="50">
        <v>2023</v>
      </c>
      <c r="I23" s="334">
        <v>8</v>
      </c>
      <c r="J23" s="338">
        <v>45608</v>
      </c>
      <c r="K23" s="245"/>
      <c r="L23" s="369">
        <v>0.1016</v>
      </c>
      <c r="M23" s="369">
        <v>0.1278</v>
      </c>
      <c r="N23" s="370">
        <v>2.6200000000000001E-2</v>
      </c>
      <c r="O23" s="370">
        <f t="shared" si="4"/>
        <v>0</v>
      </c>
      <c r="P23" s="370">
        <v>1</v>
      </c>
      <c r="Q23" s="370">
        <f t="shared" si="3"/>
        <v>0.1016</v>
      </c>
      <c r="R23" s="51">
        <v>7028049</v>
      </c>
      <c r="S23" s="33">
        <v>50361222</v>
      </c>
      <c r="T23" s="382">
        <v>4280500</v>
      </c>
      <c r="U23" s="382">
        <f t="shared" ref="U23:U26" si="14">T23-N23*S23</f>
        <v>2961035.9835999999</v>
      </c>
      <c r="V23" s="22" t="s">
        <v>82</v>
      </c>
      <c r="W23" s="22" t="s">
        <v>78</v>
      </c>
      <c r="X23" s="52">
        <v>1.4</v>
      </c>
      <c r="Y23" s="52" t="s">
        <v>83</v>
      </c>
      <c r="Z23" s="52"/>
      <c r="AA23" s="53"/>
      <c r="AB23" s="392">
        <f t="shared" ref="AB23:AB26" si="15">M23*R23</f>
        <v>898184.66220000002</v>
      </c>
      <c r="AC23" s="54"/>
      <c r="AD23" s="33">
        <f t="shared" ref="AD23:AD26" si="16">R23*X23/1000</f>
        <v>9839.2685999999994</v>
      </c>
      <c r="AE23" s="48"/>
    </row>
    <row r="24" spans="1:31" s="55" customFormat="1" ht="15.75" customHeight="1">
      <c r="A24" s="22" t="s">
        <v>80</v>
      </c>
      <c r="B24" s="48" t="str">
        <f>VLOOKUP(A24,[1]Sheet1!$A:$B,2,0)</f>
        <v>RCS POD</v>
      </c>
      <c r="C24" s="248" t="s">
        <v>81</v>
      </c>
      <c r="D24" s="22">
        <v>390000221</v>
      </c>
      <c r="E24" s="22" t="s">
        <v>74</v>
      </c>
      <c r="F24" s="48" t="s">
        <v>75</v>
      </c>
      <c r="G24" s="49" t="s">
        <v>76</v>
      </c>
      <c r="H24" s="50">
        <v>2023</v>
      </c>
      <c r="I24" s="334">
        <v>9</v>
      </c>
      <c r="J24" s="338">
        <v>45608</v>
      </c>
      <c r="K24" s="245"/>
      <c r="L24" s="369">
        <v>0.1016</v>
      </c>
      <c r="M24" s="369">
        <v>0.1278</v>
      </c>
      <c r="N24" s="370">
        <v>2.6200000000000001E-2</v>
      </c>
      <c r="O24" s="370">
        <f t="shared" si="4"/>
        <v>0</v>
      </c>
      <c r="P24" s="370">
        <v>1</v>
      </c>
      <c r="Q24" s="370">
        <f t="shared" si="3"/>
        <v>0.1016</v>
      </c>
      <c r="R24" s="51">
        <v>7982506</v>
      </c>
      <c r="S24" s="33">
        <v>58343728</v>
      </c>
      <c r="T24" s="382">
        <v>4280500</v>
      </c>
      <c r="U24" s="382">
        <f t="shared" si="14"/>
        <v>2751894.3263999997</v>
      </c>
      <c r="V24" s="22" t="s">
        <v>82</v>
      </c>
      <c r="W24" s="22" t="s">
        <v>78</v>
      </c>
      <c r="X24" s="52">
        <v>1.4</v>
      </c>
      <c r="Y24" s="52" t="s">
        <v>83</v>
      </c>
      <c r="Z24" s="52"/>
      <c r="AA24" s="53"/>
      <c r="AB24" s="392">
        <f t="shared" si="15"/>
        <v>1020164.2668</v>
      </c>
      <c r="AC24" s="54"/>
      <c r="AD24" s="33">
        <f t="shared" si="16"/>
        <v>11175.508399999999</v>
      </c>
      <c r="AE24" s="48"/>
    </row>
    <row r="25" spans="1:31" s="55" customFormat="1" ht="15.75" customHeight="1">
      <c r="A25" s="22" t="s">
        <v>80</v>
      </c>
      <c r="B25" s="48" t="str">
        <f>VLOOKUP(A25,[1]Sheet1!$A:$B,2,0)</f>
        <v>RCS POD</v>
      </c>
      <c r="C25" s="248" t="s">
        <v>81</v>
      </c>
      <c r="D25" s="22">
        <v>390000221</v>
      </c>
      <c r="E25" s="22" t="s">
        <v>74</v>
      </c>
      <c r="F25" s="48" t="s">
        <v>75</v>
      </c>
      <c r="G25" s="49" t="s">
        <v>76</v>
      </c>
      <c r="H25" s="50">
        <v>2023</v>
      </c>
      <c r="I25" s="334">
        <v>10</v>
      </c>
      <c r="J25" s="338">
        <v>45608</v>
      </c>
      <c r="K25" s="245"/>
      <c r="L25" s="369">
        <v>0.1016</v>
      </c>
      <c r="M25" s="369">
        <v>0.1278</v>
      </c>
      <c r="N25" s="370">
        <v>2.6200000000000001E-2</v>
      </c>
      <c r="O25" s="370">
        <f t="shared" si="4"/>
        <v>0</v>
      </c>
      <c r="P25" s="370">
        <v>1</v>
      </c>
      <c r="Q25" s="370">
        <f t="shared" si="3"/>
        <v>0.1016</v>
      </c>
      <c r="R25" s="51">
        <v>8155996</v>
      </c>
      <c r="S25" s="33">
        <v>66499724</v>
      </c>
      <c r="T25" s="382">
        <v>4280500</v>
      </c>
      <c r="U25" s="382">
        <f t="shared" si="14"/>
        <v>2538207.2312000003</v>
      </c>
      <c r="V25" s="22" t="s">
        <v>82</v>
      </c>
      <c r="W25" s="22" t="s">
        <v>78</v>
      </c>
      <c r="X25" s="52">
        <v>1.4</v>
      </c>
      <c r="Y25" s="52" t="s">
        <v>83</v>
      </c>
      <c r="Z25" s="52"/>
      <c r="AA25" s="53"/>
      <c r="AB25" s="392">
        <f t="shared" si="15"/>
        <v>1042336.2888</v>
      </c>
      <c r="AC25" s="54"/>
      <c r="AD25" s="33">
        <f t="shared" si="16"/>
        <v>11418.394399999999</v>
      </c>
      <c r="AE25" s="48"/>
    </row>
    <row r="26" spans="1:31" s="55" customFormat="1" ht="15.75" customHeight="1">
      <c r="A26" s="22" t="s">
        <v>80</v>
      </c>
      <c r="B26" s="48" t="str">
        <f>VLOOKUP(A26,[1]Sheet1!$A:$B,2,0)</f>
        <v>RCS POD</v>
      </c>
      <c r="C26" s="248" t="s">
        <v>81</v>
      </c>
      <c r="D26" s="22">
        <v>390000221</v>
      </c>
      <c r="E26" s="22" t="s">
        <v>74</v>
      </c>
      <c r="F26" s="48" t="s">
        <v>75</v>
      </c>
      <c r="G26" s="49" t="s">
        <v>76</v>
      </c>
      <c r="H26" s="50">
        <v>2023</v>
      </c>
      <c r="I26" s="334">
        <v>11</v>
      </c>
      <c r="J26" s="338">
        <v>45608</v>
      </c>
      <c r="K26" s="245"/>
      <c r="L26" s="369">
        <v>0.1016</v>
      </c>
      <c r="M26" s="369">
        <v>0.1278</v>
      </c>
      <c r="N26" s="370">
        <v>2.6200000000000001E-2</v>
      </c>
      <c r="O26" s="370">
        <f t="shared" si="4"/>
        <v>0</v>
      </c>
      <c r="P26" s="370">
        <v>1</v>
      </c>
      <c r="Q26" s="370">
        <f t="shared" si="3"/>
        <v>0.1016</v>
      </c>
      <c r="R26" s="51">
        <v>5224675</v>
      </c>
      <c r="S26" s="33">
        <v>71724399</v>
      </c>
      <c r="T26" s="382">
        <v>4280500</v>
      </c>
      <c r="U26" s="382">
        <f t="shared" si="14"/>
        <v>2401320.7461999999</v>
      </c>
      <c r="V26" s="22" t="s">
        <v>82</v>
      </c>
      <c r="W26" s="22" t="s">
        <v>78</v>
      </c>
      <c r="X26" s="52">
        <v>1.4</v>
      </c>
      <c r="Y26" s="52" t="s">
        <v>83</v>
      </c>
      <c r="Z26" s="52"/>
      <c r="AA26" s="53"/>
      <c r="AB26" s="392">
        <f t="shared" si="15"/>
        <v>667713.46499999997</v>
      </c>
      <c r="AC26" s="54"/>
      <c r="AD26" s="33">
        <f t="shared" si="16"/>
        <v>7314.5450000000001</v>
      </c>
      <c r="AE26" s="48"/>
    </row>
    <row r="27" spans="1:31" s="55" customFormat="1" ht="15.75" customHeight="1">
      <c r="A27" s="22" t="s">
        <v>80</v>
      </c>
      <c r="B27" s="48" t="str">
        <f>VLOOKUP(A27,[1]Sheet1!$A:$B,2,0)</f>
        <v>RCS POD</v>
      </c>
      <c r="C27" s="248" t="s">
        <v>81</v>
      </c>
      <c r="D27" s="22">
        <v>390000221</v>
      </c>
      <c r="E27" s="22" t="s">
        <v>74</v>
      </c>
      <c r="F27" s="48" t="s">
        <v>75</v>
      </c>
      <c r="G27" s="49" t="s">
        <v>76</v>
      </c>
      <c r="H27" s="50">
        <v>2023</v>
      </c>
      <c r="I27" s="334">
        <v>12</v>
      </c>
      <c r="J27" s="338">
        <v>45608</v>
      </c>
      <c r="K27" s="245"/>
      <c r="L27" s="369">
        <v>0.1016</v>
      </c>
      <c r="M27" s="369">
        <v>0.1278</v>
      </c>
      <c r="N27" s="370">
        <v>2.6200000000000001E-2</v>
      </c>
      <c r="O27" s="370">
        <f t="shared" si="4"/>
        <v>0</v>
      </c>
      <c r="P27" s="370">
        <v>1</v>
      </c>
      <c r="Q27" s="370">
        <f t="shared" si="3"/>
        <v>0.1016</v>
      </c>
      <c r="R27" s="51">
        <v>4423894</v>
      </c>
      <c r="S27" s="33">
        <v>76148293</v>
      </c>
      <c r="T27" s="382">
        <v>4280500</v>
      </c>
      <c r="U27" s="382">
        <f t="shared" ref="U27:U28" si="17">T27-N27*S27</f>
        <v>2285414.7234</v>
      </c>
      <c r="V27" s="22" t="s">
        <v>82</v>
      </c>
      <c r="W27" s="22" t="s">
        <v>78</v>
      </c>
      <c r="X27" s="52">
        <v>1.4</v>
      </c>
      <c r="Y27" s="52" t="s">
        <v>83</v>
      </c>
      <c r="Z27" s="52"/>
      <c r="AA27" s="53"/>
      <c r="AB27" s="392">
        <f t="shared" ref="AB27:AB28" si="18">M27*R27</f>
        <v>565373.65319999994</v>
      </c>
      <c r="AC27" s="54"/>
      <c r="AD27" s="33">
        <f t="shared" ref="AD27:AD28" si="19">R27*X27/1000</f>
        <v>6193.4515999999994</v>
      </c>
      <c r="AE27" s="48"/>
    </row>
    <row r="28" spans="1:31" s="55" customFormat="1" ht="15.75" customHeight="1">
      <c r="A28" s="22" t="s">
        <v>80</v>
      </c>
      <c r="B28" s="48" t="str">
        <f>VLOOKUP(A28,[1]Sheet1!$A:$B,2,0)</f>
        <v>RCS POD</v>
      </c>
      <c r="C28" s="22" t="s">
        <v>84</v>
      </c>
      <c r="D28" s="22">
        <v>390000215</v>
      </c>
      <c r="E28" s="22" t="s">
        <v>74</v>
      </c>
      <c r="F28" s="48" t="s">
        <v>75</v>
      </c>
      <c r="G28" s="49" t="s">
        <v>76</v>
      </c>
      <c r="H28" s="50">
        <v>2023</v>
      </c>
      <c r="I28" s="334">
        <v>1</v>
      </c>
      <c r="J28" s="338">
        <v>45608</v>
      </c>
      <c r="K28" s="245"/>
      <c r="L28" s="369">
        <v>9.9199999999999997E-2</v>
      </c>
      <c r="M28" s="369">
        <v>0.12540000000000001</v>
      </c>
      <c r="N28" s="370">
        <v>2.6200000000000001E-2</v>
      </c>
      <c r="O28" s="370">
        <f t="shared" si="4"/>
        <v>0</v>
      </c>
      <c r="P28" s="370">
        <v>1</v>
      </c>
      <c r="Q28" s="370">
        <f t="shared" si="3"/>
        <v>9.9199999999999997E-2</v>
      </c>
      <c r="R28" s="51">
        <v>2827472</v>
      </c>
      <c r="S28" s="33">
        <v>2827472</v>
      </c>
      <c r="T28" s="382">
        <v>4592000</v>
      </c>
      <c r="U28" s="382">
        <f t="shared" si="17"/>
        <v>4517920.2335999999</v>
      </c>
      <c r="V28" s="22" t="s">
        <v>77</v>
      </c>
      <c r="W28" s="22" t="s">
        <v>78</v>
      </c>
      <c r="X28" s="52">
        <v>1.53</v>
      </c>
      <c r="Y28" s="52" t="s">
        <v>79</v>
      </c>
      <c r="Z28" s="52"/>
      <c r="AA28" s="53"/>
      <c r="AB28" s="392">
        <f t="shared" si="18"/>
        <v>354564.98880000005</v>
      </c>
      <c r="AC28" s="54"/>
      <c r="AD28" s="33">
        <f t="shared" si="19"/>
        <v>4326.0321599999997</v>
      </c>
      <c r="AE28" s="48"/>
    </row>
    <row r="29" spans="1:31" s="55" customFormat="1" ht="15.75" customHeight="1">
      <c r="A29" s="22" t="s">
        <v>80</v>
      </c>
      <c r="B29" s="48" t="str">
        <f>VLOOKUP(A29,[1]Sheet1!$A:$B,2,0)</f>
        <v>RCS POD</v>
      </c>
      <c r="C29" s="22" t="s">
        <v>84</v>
      </c>
      <c r="D29" s="22">
        <v>390000215</v>
      </c>
      <c r="E29" s="22" t="s">
        <v>74</v>
      </c>
      <c r="F29" s="48" t="s">
        <v>75</v>
      </c>
      <c r="G29" s="49" t="s">
        <v>76</v>
      </c>
      <c r="H29" s="50">
        <v>2023</v>
      </c>
      <c r="I29" s="334">
        <v>2</v>
      </c>
      <c r="J29" s="338">
        <v>45608</v>
      </c>
      <c r="K29" s="245"/>
      <c r="L29" s="369">
        <v>9.9199999999999997E-2</v>
      </c>
      <c r="M29" s="369">
        <v>0.12540000000000001</v>
      </c>
      <c r="N29" s="370">
        <v>2.6200000000000001E-2</v>
      </c>
      <c r="O29" s="370">
        <f t="shared" si="4"/>
        <v>0</v>
      </c>
      <c r="P29" s="370">
        <v>1</v>
      </c>
      <c r="Q29" s="370">
        <f t="shared" si="3"/>
        <v>9.9199999999999997E-2</v>
      </c>
      <c r="R29" s="51">
        <v>7984355</v>
      </c>
      <c r="S29" s="33">
        <v>10811827</v>
      </c>
      <c r="T29" s="382">
        <v>4592000</v>
      </c>
      <c r="U29" s="382">
        <f t="shared" ref="U29:U30" si="20">T29-N29*S29</f>
        <v>4308730.1326000001</v>
      </c>
      <c r="V29" s="22" t="s">
        <v>77</v>
      </c>
      <c r="W29" s="22" t="s">
        <v>78</v>
      </c>
      <c r="X29" s="52">
        <v>1.53</v>
      </c>
      <c r="Y29" s="52" t="s">
        <v>79</v>
      </c>
      <c r="Z29" s="52"/>
      <c r="AA29" s="53"/>
      <c r="AB29" s="392">
        <f t="shared" ref="AB29:AB30" si="21">M29*R29</f>
        <v>1001238.1170000001</v>
      </c>
      <c r="AC29" s="54"/>
      <c r="AD29" s="33">
        <f t="shared" ref="AD29:AD30" si="22">R29*X29/1000</f>
        <v>12216.06315</v>
      </c>
      <c r="AE29" s="48"/>
    </row>
    <row r="30" spans="1:31" s="55" customFormat="1" ht="15.75" customHeight="1">
      <c r="A30" s="22" t="s">
        <v>80</v>
      </c>
      <c r="B30" s="48" t="str">
        <f>VLOOKUP(A30,[1]Sheet1!$A:$B,2,0)</f>
        <v>RCS POD</v>
      </c>
      <c r="C30" s="22" t="s">
        <v>84</v>
      </c>
      <c r="D30" s="22">
        <v>390000215</v>
      </c>
      <c r="E30" s="22" t="s">
        <v>74</v>
      </c>
      <c r="F30" s="48" t="s">
        <v>75</v>
      </c>
      <c r="G30" s="49" t="s">
        <v>76</v>
      </c>
      <c r="H30" s="50">
        <v>2023</v>
      </c>
      <c r="I30" s="334">
        <v>3</v>
      </c>
      <c r="J30" s="338">
        <v>45608</v>
      </c>
      <c r="K30" s="245"/>
      <c r="L30" s="369">
        <v>9.9199999999999997E-2</v>
      </c>
      <c r="M30" s="369">
        <v>0.12540000000000001</v>
      </c>
      <c r="N30" s="370">
        <v>2.6200000000000001E-2</v>
      </c>
      <c r="O30" s="370">
        <f t="shared" si="4"/>
        <v>0</v>
      </c>
      <c r="P30" s="370">
        <v>1</v>
      </c>
      <c r="Q30" s="370">
        <f t="shared" si="3"/>
        <v>9.9199999999999997E-2</v>
      </c>
      <c r="R30" s="51">
        <v>9744460</v>
      </c>
      <c r="S30" s="33">
        <v>20556287</v>
      </c>
      <c r="T30" s="382">
        <v>4592000</v>
      </c>
      <c r="U30" s="382">
        <f t="shared" si="20"/>
        <v>4053425.2806000002</v>
      </c>
      <c r="V30" s="22" t="s">
        <v>77</v>
      </c>
      <c r="W30" s="22" t="s">
        <v>78</v>
      </c>
      <c r="X30" s="52">
        <v>1.53</v>
      </c>
      <c r="Y30" s="52" t="s">
        <v>79</v>
      </c>
      <c r="Z30" s="52"/>
      <c r="AA30" s="53"/>
      <c r="AB30" s="392">
        <f t="shared" si="21"/>
        <v>1221955.2840000002</v>
      </c>
      <c r="AC30" s="54"/>
      <c r="AD30" s="33">
        <f t="shared" si="22"/>
        <v>14909.023800000001</v>
      </c>
      <c r="AE30" s="48"/>
    </row>
    <row r="31" spans="1:31" s="55" customFormat="1" ht="15.75" customHeight="1">
      <c r="A31" s="22" t="s">
        <v>80</v>
      </c>
      <c r="B31" s="48" t="str">
        <f>VLOOKUP(A31,[1]Sheet1!$A:$B,2,0)</f>
        <v>RCS POD</v>
      </c>
      <c r="C31" s="22" t="s">
        <v>84</v>
      </c>
      <c r="D31" s="22">
        <v>390000215</v>
      </c>
      <c r="E31" s="22" t="s">
        <v>74</v>
      </c>
      <c r="F31" s="48" t="s">
        <v>75</v>
      </c>
      <c r="G31" s="49" t="s">
        <v>76</v>
      </c>
      <c r="H31" s="50">
        <v>2023</v>
      </c>
      <c r="I31" s="334">
        <v>4</v>
      </c>
      <c r="J31" s="338">
        <v>45608</v>
      </c>
      <c r="K31" s="245"/>
      <c r="L31" s="369">
        <v>9.9199999999999997E-2</v>
      </c>
      <c r="M31" s="369">
        <v>0.12540000000000001</v>
      </c>
      <c r="N31" s="370">
        <v>2.6200000000000001E-2</v>
      </c>
      <c r="O31" s="370">
        <f t="shared" si="4"/>
        <v>0</v>
      </c>
      <c r="P31" s="370">
        <v>1</v>
      </c>
      <c r="Q31" s="370">
        <f t="shared" si="3"/>
        <v>9.9199999999999997E-2</v>
      </c>
      <c r="R31" s="51">
        <v>5679481</v>
      </c>
      <c r="S31" s="33">
        <v>26235768</v>
      </c>
      <c r="T31" s="382">
        <v>4592000</v>
      </c>
      <c r="U31" s="382">
        <f t="shared" ref="U31:U34" si="23">T31-N31*S31</f>
        <v>3904622.8783999998</v>
      </c>
      <c r="V31" s="22" t="s">
        <v>77</v>
      </c>
      <c r="W31" s="22" t="s">
        <v>78</v>
      </c>
      <c r="X31" s="52">
        <v>1.53</v>
      </c>
      <c r="Y31" s="52" t="s">
        <v>79</v>
      </c>
      <c r="Z31" s="52"/>
      <c r="AA31" s="53"/>
      <c r="AB31" s="392">
        <f t="shared" ref="AB31:AB34" si="24">M31*R31</f>
        <v>712206.91740000003</v>
      </c>
      <c r="AC31" s="54"/>
      <c r="AD31" s="33">
        <f t="shared" ref="AD31:AD34" si="25">R31*X31/1000</f>
        <v>8689.6059299999997</v>
      </c>
      <c r="AE31" s="48"/>
    </row>
    <row r="32" spans="1:31" s="55" customFormat="1" ht="15.75" customHeight="1">
      <c r="A32" s="22" t="s">
        <v>80</v>
      </c>
      <c r="B32" s="48" t="str">
        <f>VLOOKUP(A32,[1]Sheet1!$A:$B,2,0)</f>
        <v>RCS POD</v>
      </c>
      <c r="C32" s="22" t="s">
        <v>84</v>
      </c>
      <c r="D32" s="22">
        <v>390000215</v>
      </c>
      <c r="E32" s="22" t="s">
        <v>74</v>
      </c>
      <c r="F32" s="48" t="s">
        <v>75</v>
      </c>
      <c r="G32" s="49" t="s">
        <v>76</v>
      </c>
      <c r="H32" s="50">
        <v>2023</v>
      </c>
      <c r="I32" s="334">
        <v>5</v>
      </c>
      <c r="J32" s="338">
        <v>45608</v>
      </c>
      <c r="K32" s="245"/>
      <c r="L32" s="369">
        <v>9.9199999999999997E-2</v>
      </c>
      <c r="M32" s="369">
        <v>0.12540000000000001</v>
      </c>
      <c r="N32" s="370">
        <v>2.6200000000000001E-2</v>
      </c>
      <c r="O32" s="370">
        <f t="shared" si="4"/>
        <v>0</v>
      </c>
      <c r="P32" s="370">
        <v>1</v>
      </c>
      <c r="Q32" s="370">
        <f t="shared" si="3"/>
        <v>9.9199999999999997E-2</v>
      </c>
      <c r="R32" s="51">
        <v>4037004</v>
      </c>
      <c r="S32" s="33">
        <v>30272772</v>
      </c>
      <c r="T32" s="382">
        <v>4592000</v>
      </c>
      <c r="U32" s="382">
        <f t="shared" si="23"/>
        <v>3798853.3736</v>
      </c>
      <c r="V32" s="22" t="s">
        <v>77</v>
      </c>
      <c r="W32" s="22" t="s">
        <v>78</v>
      </c>
      <c r="X32" s="52">
        <v>1.53</v>
      </c>
      <c r="Y32" s="52" t="s">
        <v>79</v>
      </c>
      <c r="Z32" s="52"/>
      <c r="AA32" s="53"/>
      <c r="AB32" s="392">
        <f t="shared" si="24"/>
        <v>506240.30160000006</v>
      </c>
      <c r="AC32" s="54"/>
      <c r="AD32" s="33">
        <f t="shared" si="25"/>
        <v>6176.6161199999997</v>
      </c>
      <c r="AE32" s="48"/>
    </row>
    <row r="33" spans="1:31" s="55" customFormat="1" ht="15.75" customHeight="1">
      <c r="A33" s="22" t="s">
        <v>80</v>
      </c>
      <c r="B33" s="48" t="str">
        <f>VLOOKUP(A33,[1]Sheet1!$A:$B,2,0)</f>
        <v>RCS POD</v>
      </c>
      <c r="C33" s="22" t="s">
        <v>84</v>
      </c>
      <c r="D33" s="22">
        <v>390000215</v>
      </c>
      <c r="E33" s="22" t="s">
        <v>74</v>
      </c>
      <c r="F33" s="48" t="s">
        <v>75</v>
      </c>
      <c r="G33" s="49" t="s">
        <v>76</v>
      </c>
      <c r="H33" s="50">
        <v>2023</v>
      </c>
      <c r="I33" s="334">
        <v>6</v>
      </c>
      <c r="J33" s="338">
        <v>45608</v>
      </c>
      <c r="K33" s="245"/>
      <c r="L33" s="369">
        <v>9.9199999999999997E-2</v>
      </c>
      <c r="M33" s="369">
        <v>0.12540000000000001</v>
      </c>
      <c r="N33" s="370">
        <v>2.6200000000000001E-2</v>
      </c>
      <c r="O33" s="370">
        <f t="shared" si="4"/>
        <v>0</v>
      </c>
      <c r="P33" s="370">
        <v>1</v>
      </c>
      <c r="Q33" s="370">
        <f t="shared" si="3"/>
        <v>9.9199999999999997E-2</v>
      </c>
      <c r="R33" s="51">
        <v>8069876</v>
      </c>
      <c r="S33" s="33">
        <v>38342648</v>
      </c>
      <c r="T33" s="382">
        <v>4592000</v>
      </c>
      <c r="U33" s="382">
        <f t="shared" si="23"/>
        <v>3587422.6223999998</v>
      </c>
      <c r="V33" s="22" t="s">
        <v>77</v>
      </c>
      <c r="W33" s="22" t="s">
        <v>78</v>
      </c>
      <c r="X33" s="52">
        <v>1.53</v>
      </c>
      <c r="Y33" s="52" t="s">
        <v>79</v>
      </c>
      <c r="Z33" s="52"/>
      <c r="AA33" s="53"/>
      <c r="AB33" s="392">
        <f t="shared" si="24"/>
        <v>1011962.4504000001</v>
      </c>
      <c r="AC33" s="54"/>
      <c r="AD33" s="33">
        <f t="shared" si="25"/>
        <v>12346.91028</v>
      </c>
      <c r="AE33" s="48"/>
    </row>
    <row r="34" spans="1:31" s="55" customFormat="1" ht="15.75" customHeight="1">
      <c r="A34" s="22" t="s">
        <v>80</v>
      </c>
      <c r="B34" s="48" t="str">
        <f>VLOOKUP(A34,[1]Sheet1!$A:$B,2,0)</f>
        <v>RCS POD</v>
      </c>
      <c r="C34" s="22" t="s">
        <v>84</v>
      </c>
      <c r="D34" s="22">
        <v>390000215</v>
      </c>
      <c r="E34" s="22" t="s">
        <v>74</v>
      </c>
      <c r="F34" s="48" t="s">
        <v>75</v>
      </c>
      <c r="G34" s="49" t="s">
        <v>76</v>
      </c>
      <c r="H34" s="50">
        <v>2023</v>
      </c>
      <c r="I34" s="334">
        <v>7</v>
      </c>
      <c r="J34" s="338">
        <v>45608</v>
      </c>
      <c r="K34" s="245"/>
      <c r="L34" s="369">
        <v>9.9199999999999997E-2</v>
      </c>
      <c r="M34" s="369">
        <v>0.12540000000000001</v>
      </c>
      <c r="N34" s="370">
        <v>2.6200000000000001E-2</v>
      </c>
      <c r="O34" s="370">
        <f t="shared" si="4"/>
        <v>0</v>
      </c>
      <c r="P34" s="370">
        <v>1</v>
      </c>
      <c r="Q34" s="370">
        <f t="shared" si="3"/>
        <v>9.9199999999999997E-2</v>
      </c>
      <c r="R34" s="51">
        <v>5303778</v>
      </c>
      <c r="S34" s="33">
        <v>43646426</v>
      </c>
      <c r="T34" s="382">
        <v>4592000</v>
      </c>
      <c r="U34" s="382">
        <f t="shared" si="23"/>
        <v>3448463.6387999998</v>
      </c>
      <c r="V34" s="22" t="s">
        <v>77</v>
      </c>
      <c r="W34" s="22" t="s">
        <v>78</v>
      </c>
      <c r="X34" s="52">
        <v>1.53</v>
      </c>
      <c r="Y34" s="52" t="s">
        <v>79</v>
      </c>
      <c r="Z34" s="52"/>
      <c r="AA34" s="53"/>
      <c r="AB34" s="392">
        <f t="shared" si="24"/>
        <v>665093.76120000007</v>
      </c>
      <c r="AC34" s="54"/>
      <c r="AD34" s="33">
        <f t="shared" si="25"/>
        <v>8114.7803400000003</v>
      </c>
      <c r="AE34" s="48"/>
    </row>
    <row r="35" spans="1:31" s="55" customFormat="1" ht="15.75" customHeight="1">
      <c r="A35" s="22" t="s">
        <v>80</v>
      </c>
      <c r="B35" s="48" t="str">
        <f>VLOOKUP(A35,[1]Sheet1!$A:$B,2,0)</f>
        <v>RCS POD</v>
      </c>
      <c r="C35" s="22" t="s">
        <v>84</v>
      </c>
      <c r="D35" s="22">
        <v>390000215</v>
      </c>
      <c r="E35" s="22" t="s">
        <v>74</v>
      </c>
      <c r="F35" s="48" t="s">
        <v>75</v>
      </c>
      <c r="G35" s="49" t="s">
        <v>76</v>
      </c>
      <c r="H35" s="50">
        <v>2023</v>
      </c>
      <c r="I35" s="334">
        <v>8</v>
      </c>
      <c r="J35" s="338">
        <v>45608</v>
      </c>
      <c r="K35" s="245"/>
      <c r="L35" s="369">
        <v>9.9199999999999997E-2</v>
      </c>
      <c r="M35" s="369">
        <v>0.12540000000000001</v>
      </c>
      <c r="N35" s="370">
        <v>2.6200000000000001E-2</v>
      </c>
      <c r="O35" s="370">
        <f t="shared" si="4"/>
        <v>0</v>
      </c>
      <c r="P35" s="370">
        <v>1</v>
      </c>
      <c r="Q35" s="370">
        <f t="shared" si="3"/>
        <v>9.9199999999999997E-2</v>
      </c>
      <c r="R35" s="51">
        <v>7120813</v>
      </c>
      <c r="S35" s="33">
        <v>50767239</v>
      </c>
      <c r="T35" s="382">
        <v>4592000</v>
      </c>
      <c r="U35" s="382">
        <f t="shared" ref="U35:U38" si="26">T35-N35*S35</f>
        <v>3261898.3382000001</v>
      </c>
      <c r="V35" s="22" t="s">
        <v>77</v>
      </c>
      <c r="W35" s="22" t="s">
        <v>78</v>
      </c>
      <c r="X35" s="52">
        <v>1.53</v>
      </c>
      <c r="Y35" s="52" t="s">
        <v>79</v>
      </c>
      <c r="Z35" s="52"/>
      <c r="AA35" s="53"/>
      <c r="AB35" s="392">
        <f t="shared" ref="AB35:AB38" si="27">M35*R35</f>
        <v>892949.95020000008</v>
      </c>
      <c r="AC35" s="54"/>
      <c r="AD35" s="33">
        <f t="shared" ref="AD35:AD38" si="28">R35*X35/1000</f>
        <v>10894.84389</v>
      </c>
      <c r="AE35" s="48"/>
    </row>
    <row r="36" spans="1:31" s="55" customFormat="1" ht="15.75" customHeight="1">
      <c r="A36" s="22" t="s">
        <v>80</v>
      </c>
      <c r="B36" s="48" t="str">
        <f>VLOOKUP(A36,[1]Sheet1!$A:$B,2,0)</f>
        <v>RCS POD</v>
      </c>
      <c r="C36" s="22" t="s">
        <v>84</v>
      </c>
      <c r="D36" s="22">
        <v>390000215</v>
      </c>
      <c r="E36" s="22" t="s">
        <v>74</v>
      </c>
      <c r="F36" s="48" t="s">
        <v>75</v>
      </c>
      <c r="G36" s="49" t="s">
        <v>76</v>
      </c>
      <c r="H36" s="50">
        <v>2023</v>
      </c>
      <c r="I36" s="334">
        <v>9</v>
      </c>
      <c r="J36" s="338">
        <v>45608</v>
      </c>
      <c r="K36" s="245"/>
      <c r="L36" s="369">
        <v>9.9199999999999997E-2</v>
      </c>
      <c r="M36" s="369">
        <v>0.12540000000000001</v>
      </c>
      <c r="N36" s="370">
        <v>2.6200000000000001E-2</v>
      </c>
      <c r="O36" s="370">
        <f t="shared" si="4"/>
        <v>0</v>
      </c>
      <c r="P36" s="370">
        <v>1</v>
      </c>
      <c r="Q36" s="370">
        <f t="shared" si="3"/>
        <v>9.9199999999999997E-2</v>
      </c>
      <c r="R36" s="51">
        <v>8336511</v>
      </c>
      <c r="S36" s="33">
        <v>59103750</v>
      </c>
      <c r="T36" s="382">
        <v>4592000</v>
      </c>
      <c r="U36" s="382">
        <f t="shared" si="26"/>
        <v>3043481.75</v>
      </c>
      <c r="V36" s="22" t="s">
        <v>77</v>
      </c>
      <c r="W36" s="22" t="s">
        <v>78</v>
      </c>
      <c r="X36" s="52">
        <v>1.53</v>
      </c>
      <c r="Y36" s="52" t="s">
        <v>79</v>
      </c>
      <c r="Z36" s="52"/>
      <c r="AA36" s="53"/>
      <c r="AB36" s="392">
        <f t="shared" si="27"/>
        <v>1045398.4794000001</v>
      </c>
      <c r="AC36" s="54"/>
      <c r="AD36" s="33">
        <f t="shared" si="28"/>
        <v>12754.86183</v>
      </c>
      <c r="AE36" s="48"/>
    </row>
    <row r="37" spans="1:31" s="55" customFormat="1" ht="15.75" customHeight="1">
      <c r="A37" s="22" t="s">
        <v>80</v>
      </c>
      <c r="B37" s="48" t="str">
        <f>VLOOKUP(A37,[1]Sheet1!$A:$B,2,0)</f>
        <v>RCS POD</v>
      </c>
      <c r="C37" s="22" t="s">
        <v>84</v>
      </c>
      <c r="D37" s="22">
        <v>390000215</v>
      </c>
      <c r="E37" s="22" t="s">
        <v>74</v>
      </c>
      <c r="F37" s="48" t="s">
        <v>75</v>
      </c>
      <c r="G37" s="49" t="s">
        <v>76</v>
      </c>
      <c r="H37" s="50">
        <v>2023</v>
      </c>
      <c r="I37" s="334">
        <v>10</v>
      </c>
      <c r="J37" s="338">
        <v>45608</v>
      </c>
      <c r="K37" s="245"/>
      <c r="L37" s="369">
        <v>9.9199999999999997E-2</v>
      </c>
      <c r="M37" s="369">
        <v>0.12540000000000001</v>
      </c>
      <c r="N37" s="370">
        <v>2.6200000000000001E-2</v>
      </c>
      <c r="O37" s="370">
        <f t="shared" si="4"/>
        <v>0</v>
      </c>
      <c r="P37" s="370">
        <v>1</v>
      </c>
      <c r="Q37" s="370">
        <f t="shared" si="3"/>
        <v>9.9199999999999997E-2</v>
      </c>
      <c r="R37" s="51">
        <v>8188512</v>
      </c>
      <c r="S37" s="33">
        <v>67292262</v>
      </c>
      <c r="T37" s="382">
        <v>4592000</v>
      </c>
      <c r="U37" s="382">
        <f t="shared" si="26"/>
        <v>2828942.7356000002</v>
      </c>
      <c r="V37" s="22" t="s">
        <v>77</v>
      </c>
      <c r="W37" s="22" t="s">
        <v>78</v>
      </c>
      <c r="X37" s="52">
        <v>1.53</v>
      </c>
      <c r="Y37" s="52" t="s">
        <v>79</v>
      </c>
      <c r="Z37" s="52"/>
      <c r="AA37" s="53"/>
      <c r="AB37" s="392">
        <f t="shared" si="27"/>
        <v>1026839.4048000001</v>
      </c>
      <c r="AC37" s="54"/>
      <c r="AD37" s="33">
        <f t="shared" si="28"/>
        <v>12528.423359999999</v>
      </c>
      <c r="AE37" s="48"/>
    </row>
    <row r="38" spans="1:31" s="55" customFormat="1" ht="15.75" customHeight="1">
      <c r="A38" s="22" t="s">
        <v>80</v>
      </c>
      <c r="B38" s="48" t="str">
        <f>VLOOKUP(A38,[1]Sheet1!$A:$B,2,0)</f>
        <v>RCS POD</v>
      </c>
      <c r="C38" s="22" t="s">
        <v>84</v>
      </c>
      <c r="D38" s="22">
        <v>390000215</v>
      </c>
      <c r="E38" s="22" t="s">
        <v>74</v>
      </c>
      <c r="F38" s="48" t="s">
        <v>75</v>
      </c>
      <c r="G38" s="49" t="s">
        <v>76</v>
      </c>
      <c r="H38" s="50">
        <v>2023</v>
      </c>
      <c r="I38" s="334">
        <v>11</v>
      </c>
      <c r="J38" s="338">
        <v>45608</v>
      </c>
      <c r="K38" s="245"/>
      <c r="L38" s="369">
        <v>9.9199999999999997E-2</v>
      </c>
      <c r="M38" s="369">
        <v>0.12540000000000001</v>
      </c>
      <c r="N38" s="370">
        <v>2.6200000000000001E-2</v>
      </c>
      <c r="O38" s="370">
        <f t="shared" si="4"/>
        <v>0</v>
      </c>
      <c r="P38" s="370">
        <v>1</v>
      </c>
      <c r="Q38" s="370">
        <f t="shared" si="3"/>
        <v>9.9199999999999997E-2</v>
      </c>
      <c r="R38" s="51">
        <v>5990206</v>
      </c>
      <c r="S38" s="33">
        <v>73282468</v>
      </c>
      <c r="T38" s="382">
        <v>4592000</v>
      </c>
      <c r="U38" s="382">
        <f t="shared" si="26"/>
        <v>2671999.3383999998</v>
      </c>
      <c r="V38" s="22" t="s">
        <v>77</v>
      </c>
      <c r="W38" s="22" t="s">
        <v>78</v>
      </c>
      <c r="X38" s="52">
        <v>1.53</v>
      </c>
      <c r="Y38" s="52" t="s">
        <v>79</v>
      </c>
      <c r="Z38" s="52"/>
      <c r="AA38" s="53"/>
      <c r="AB38" s="392">
        <f t="shared" si="27"/>
        <v>751171.83240000007</v>
      </c>
      <c r="AC38" s="54"/>
      <c r="AD38" s="33">
        <f t="shared" si="28"/>
        <v>9165.0151800000003</v>
      </c>
      <c r="AE38" s="48"/>
    </row>
    <row r="39" spans="1:31" s="55" customFormat="1" ht="15.75" customHeight="1">
      <c r="A39" s="22" t="s">
        <v>80</v>
      </c>
      <c r="B39" s="48" t="str">
        <f>VLOOKUP(A39,[1]Sheet1!$A:$B,2,0)</f>
        <v>RCS POD</v>
      </c>
      <c r="C39" s="22" t="s">
        <v>84</v>
      </c>
      <c r="D39" s="22">
        <v>390000215</v>
      </c>
      <c r="E39" s="22" t="s">
        <v>74</v>
      </c>
      <c r="F39" s="48" t="s">
        <v>75</v>
      </c>
      <c r="G39" s="49" t="s">
        <v>76</v>
      </c>
      <c r="H39" s="50">
        <v>2023</v>
      </c>
      <c r="I39" s="334">
        <v>12</v>
      </c>
      <c r="J39" s="338">
        <v>45608</v>
      </c>
      <c r="K39" s="245"/>
      <c r="L39" s="369">
        <v>9.9199999999999997E-2</v>
      </c>
      <c r="M39" s="369">
        <v>0.12540000000000001</v>
      </c>
      <c r="N39" s="370">
        <v>2.6200000000000001E-2</v>
      </c>
      <c r="O39" s="370">
        <f t="shared" si="4"/>
        <v>0</v>
      </c>
      <c r="P39" s="370">
        <v>1</v>
      </c>
      <c r="Q39" s="370">
        <f t="shared" si="3"/>
        <v>9.9199999999999997E-2</v>
      </c>
      <c r="R39" s="51">
        <v>4892881</v>
      </c>
      <c r="S39" s="33">
        <v>78175349</v>
      </c>
      <c r="T39" s="382">
        <v>4592000</v>
      </c>
      <c r="U39" s="382">
        <f t="shared" ref="U39:U40" si="29">T39-N39*S39</f>
        <v>2543805.8561999998</v>
      </c>
      <c r="V39" s="22" t="s">
        <v>77</v>
      </c>
      <c r="W39" s="22" t="s">
        <v>78</v>
      </c>
      <c r="X39" s="52">
        <v>1.53</v>
      </c>
      <c r="Y39" s="52" t="s">
        <v>79</v>
      </c>
      <c r="Z39" s="52"/>
      <c r="AA39" s="53"/>
      <c r="AB39" s="392">
        <f t="shared" ref="AB39:AB40" si="30">M39*R39</f>
        <v>613567.27740000002</v>
      </c>
      <c r="AC39" s="54"/>
      <c r="AD39" s="33">
        <f t="shared" ref="AD39:AD40" si="31">R39*X39/1000</f>
        <v>7486.1079300000001</v>
      </c>
      <c r="AE39" s="48"/>
    </row>
    <row r="40" spans="1:31" s="55" customFormat="1" ht="15.75" customHeight="1">
      <c r="A40" s="22" t="s">
        <v>80</v>
      </c>
      <c r="B40" s="48" t="str">
        <f>VLOOKUP(A40,[1]Sheet1!$A:$B,2,0)</f>
        <v>RCS POD</v>
      </c>
      <c r="C40" s="22" t="s">
        <v>85</v>
      </c>
      <c r="D40" s="22">
        <v>390000216</v>
      </c>
      <c r="E40" s="22" t="s">
        <v>74</v>
      </c>
      <c r="F40" s="48" t="s">
        <v>75</v>
      </c>
      <c r="G40" s="49" t="s">
        <v>76</v>
      </c>
      <c r="H40" s="50">
        <v>2023</v>
      </c>
      <c r="I40" s="334">
        <v>1</v>
      </c>
      <c r="J40" s="338">
        <v>45608</v>
      </c>
      <c r="K40" s="245"/>
      <c r="L40" s="369">
        <v>0.1105</v>
      </c>
      <c r="M40" s="369">
        <v>0.13669999999999999</v>
      </c>
      <c r="N40" s="370">
        <v>2.6200000000000001E-2</v>
      </c>
      <c r="O40" s="370">
        <f t="shared" ref="O40:O71" si="32">K40*N40</f>
        <v>0</v>
      </c>
      <c r="P40" s="370">
        <v>1</v>
      </c>
      <c r="Q40" s="370">
        <f t="shared" si="3"/>
        <v>0.1105</v>
      </c>
      <c r="R40" s="51">
        <v>3482417</v>
      </c>
      <c r="S40" s="33">
        <v>3482417</v>
      </c>
      <c r="T40" s="382">
        <v>4830000</v>
      </c>
      <c r="U40" s="382">
        <f t="shared" si="29"/>
        <v>4738760.6745999996</v>
      </c>
      <c r="V40" s="22" t="s">
        <v>77</v>
      </c>
      <c r="W40" s="22" t="s">
        <v>78</v>
      </c>
      <c r="X40" s="52">
        <v>1.3</v>
      </c>
      <c r="Y40" s="52" t="s">
        <v>79</v>
      </c>
      <c r="Z40" s="52"/>
      <c r="AA40" s="53"/>
      <c r="AB40" s="392">
        <f t="shared" si="30"/>
        <v>476046.40389999998</v>
      </c>
      <c r="AC40" s="54"/>
      <c r="AD40" s="33">
        <f t="shared" si="31"/>
        <v>4527.1421000000009</v>
      </c>
      <c r="AE40" s="48"/>
    </row>
    <row r="41" spans="1:31" s="55" customFormat="1" ht="15.75" customHeight="1">
      <c r="A41" s="22" t="s">
        <v>80</v>
      </c>
      <c r="B41" s="48" t="str">
        <f>VLOOKUP(A41,[1]Sheet1!$A:$B,2,0)</f>
        <v>RCS POD</v>
      </c>
      <c r="C41" s="22" t="s">
        <v>85</v>
      </c>
      <c r="D41" s="22">
        <v>390000216</v>
      </c>
      <c r="E41" s="22" t="s">
        <v>74</v>
      </c>
      <c r="F41" s="48" t="s">
        <v>75</v>
      </c>
      <c r="G41" s="49" t="s">
        <v>76</v>
      </c>
      <c r="H41" s="50">
        <v>2023</v>
      </c>
      <c r="I41" s="334">
        <v>2</v>
      </c>
      <c r="J41" s="338">
        <v>45608</v>
      </c>
      <c r="K41" s="245"/>
      <c r="L41" s="369">
        <v>0.1105</v>
      </c>
      <c r="M41" s="369">
        <v>0.13669999999999999</v>
      </c>
      <c r="N41" s="370">
        <v>2.6200000000000001E-2</v>
      </c>
      <c r="O41" s="370">
        <f t="shared" si="32"/>
        <v>0</v>
      </c>
      <c r="P41" s="370">
        <v>1</v>
      </c>
      <c r="Q41" s="370">
        <f t="shared" si="3"/>
        <v>0.1105</v>
      </c>
      <c r="R41" s="51">
        <v>7844142</v>
      </c>
      <c r="S41" s="33">
        <v>11326559</v>
      </c>
      <c r="T41" s="382">
        <v>4830000</v>
      </c>
      <c r="U41" s="382">
        <f t="shared" ref="U41:U42" si="33">T41-N41*S41</f>
        <v>4533244.1541999998</v>
      </c>
      <c r="V41" s="22" t="s">
        <v>77</v>
      </c>
      <c r="W41" s="22" t="s">
        <v>78</v>
      </c>
      <c r="X41" s="52">
        <v>1.3</v>
      </c>
      <c r="Y41" s="52" t="s">
        <v>79</v>
      </c>
      <c r="Z41" s="52"/>
      <c r="AA41" s="53"/>
      <c r="AB41" s="392">
        <f t="shared" ref="AB41:AB42" si="34">M41*R41</f>
        <v>1072294.2113999999</v>
      </c>
      <c r="AC41" s="54"/>
      <c r="AD41" s="33">
        <f t="shared" ref="AD41:AD42" si="35">R41*X41/1000</f>
        <v>10197.384599999999</v>
      </c>
      <c r="AE41" s="48"/>
    </row>
    <row r="42" spans="1:31" s="55" customFormat="1" ht="15.75" customHeight="1">
      <c r="A42" s="22" t="s">
        <v>80</v>
      </c>
      <c r="B42" s="48" t="str">
        <f>VLOOKUP(A42,[1]Sheet1!$A:$B,2,0)</f>
        <v>RCS POD</v>
      </c>
      <c r="C42" s="22" t="s">
        <v>85</v>
      </c>
      <c r="D42" s="22">
        <v>390000216</v>
      </c>
      <c r="E42" s="22" t="s">
        <v>74</v>
      </c>
      <c r="F42" s="48" t="s">
        <v>75</v>
      </c>
      <c r="G42" s="49" t="s">
        <v>76</v>
      </c>
      <c r="H42" s="50">
        <v>2023</v>
      </c>
      <c r="I42" s="334">
        <v>3</v>
      </c>
      <c r="J42" s="338">
        <v>45608</v>
      </c>
      <c r="K42" s="245"/>
      <c r="L42" s="369">
        <v>0.1105</v>
      </c>
      <c r="M42" s="369">
        <v>0.13669999999999999</v>
      </c>
      <c r="N42" s="370">
        <v>2.6200000000000001E-2</v>
      </c>
      <c r="O42" s="370">
        <f t="shared" si="32"/>
        <v>0</v>
      </c>
      <c r="P42" s="370">
        <v>1</v>
      </c>
      <c r="Q42" s="370">
        <f t="shared" si="3"/>
        <v>0.1105</v>
      </c>
      <c r="R42" s="51">
        <v>9741311</v>
      </c>
      <c r="S42" s="33">
        <v>21067870</v>
      </c>
      <c r="T42" s="382">
        <v>4830000</v>
      </c>
      <c r="U42" s="382">
        <f t="shared" si="33"/>
        <v>4278021.8059999999</v>
      </c>
      <c r="V42" s="22" t="s">
        <v>77</v>
      </c>
      <c r="W42" s="22" t="s">
        <v>78</v>
      </c>
      <c r="X42" s="52">
        <v>1.3</v>
      </c>
      <c r="Y42" s="52" t="s">
        <v>79</v>
      </c>
      <c r="Z42" s="52"/>
      <c r="AA42" s="53"/>
      <c r="AB42" s="392">
        <f t="shared" si="34"/>
        <v>1331637.2137</v>
      </c>
      <c r="AC42" s="54"/>
      <c r="AD42" s="33">
        <f t="shared" si="35"/>
        <v>12663.704300000001</v>
      </c>
      <c r="AE42" s="48"/>
    </row>
    <row r="43" spans="1:31" s="55" customFormat="1" ht="15.75" customHeight="1">
      <c r="A43" s="22" t="s">
        <v>80</v>
      </c>
      <c r="B43" s="48" t="str">
        <f>VLOOKUP(A43,[1]Sheet1!$A:$B,2,0)</f>
        <v>RCS POD</v>
      </c>
      <c r="C43" s="22" t="s">
        <v>85</v>
      </c>
      <c r="D43" s="22">
        <v>390000216</v>
      </c>
      <c r="E43" s="22" t="s">
        <v>74</v>
      </c>
      <c r="F43" s="48" t="s">
        <v>75</v>
      </c>
      <c r="G43" s="49" t="s">
        <v>76</v>
      </c>
      <c r="H43" s="50">
        <v>2023</v>
      </c>
      <c r="I43" s="334">
        <v>4</v>
      </c>
      <c r="J43" s="338">
        <v>45608</v>
      </c>
      <c r="K43" s="245"/>
      <c r="L43" s="369">
        <v>0.1105</v>
      </c>
      <c r="M43" s="369">
        <v>0.13669999999999999</v>
      </c>
      <c r="N43" s="370">
        <v>2.6200000000000001E-2</v>
      </c>
      <c r="O43" s="370">
        <f t="shared" si="32"/>
        <v>0</v>
      </c>
      <c r="P43" s="370">
        <v>1</v>
      </c>
      <c r="Q43" s="370">
        <f t="shared" si="3"/>
        <v>0.1105</v>
      </c>
      <c r="R43" s="51">
        <v>5714812</v>
      </c>
      <c r="S43" s="33">
        <v>26782682</v>
      </c>
      <c r="T43" s="382">
        <v>4830000</v>
      </c>
      <c r="U43" s="382">
        <f t="shared" ref="U43:U46" si="36">T43-N43*S43</f>
        <v>4128293.7316000001</v>
      </c>
      <c r="V43" s="22" t="s">
        <v>77</v>
      </c>
      <c r="W43" s="22" t="s">
        <v>78</v>
      </c>
      <c r="X43" s="52">
        <v>1.3</v>
      </c>
      <c r="Y43" s="52" t="s">
        <v>79</v>
      </c>
      <c r="Z43" s="52"/>
      <c r="AA43" s="53"/>
      <c r="AB43" s="392">
        <f t="shared" ref="AB43:AB46" si="37">M43*R43</f>
        <v>781214.80039999995</v>
      </c>
      <c r="AC43" s="54"/>
      <c r="AD43" s="33">
        <f t="shared" ref="AD43:AD46" si="38">R43*X43/1000</f>
        <v>7429.2556000000004</v>
      </c>
      <c r="AE43" s="48"/>
    </row>
    <row r="44" spans="1:31" s="55" customFormat="1" ht="15.75" customHeight="1">
      <c r="A44" s="22" t="s">
        <v>80</v>
      </c>
      <c r="B44" s="48" t="str">
        <f>VLOOKUP(A44,[1]Sheet1!$A:$B,2,0)</f>
        <v>RCS POD</v>
      </c>
      <c r="C44" s="22" t="s">
        <v>85</v>
      </c>
      <c r="D44" s="22">
        <v>390000216</v>
      </c>
      <c r="E44" s="22" t="s">
        <v>74</v>
      </c>
      <c r="F44" s="48" t="s">
        <v>75</v>
      </c>
      <c r="G44" s="49" t="s">
        <v>76</v>
      </c>
      <c r="H44" s="50">
        <v>2023</v>
      </c>
      <c r="I44" s="334">
        <v>5</v>
      </c>
      <c r="J44" s="338">
        <v>45608</v>
      </c>
      <c r="K44" s="245"/>
      <c r="L44" s="369">
        <v>0.1105</v>
      </c>
      <c r="M44" s="369">
        <v>0.13669999999999999</v>
      </c>
      <c r="N44" s="370">
        <v>2.6200000000000001E-2</v>
      </c>
      <c r="O44" s="370">
        <f t="shared" si="32"/>
        <v>0</v>
      </c>
      <c r="P44" s="370">
        <v>1</v>
      </c>
      <c r="Q44" s="370">
        <f t="shared" si="3"/>
        <v>0.1105</v>
      </c>
      <c r="R44" s="51">
        <v>4037004</v>
      </c>
      <c r="S44" s="33">
        <v>30819686</v>
      </c>
      <c r="T44" s="382">
        <v>4830000</v>
      </c>
      <c r="U44" s="382">
        <f t="shared" si="36"/>
        <v>4022524.2267999998</v>
      </c>
      <c r="V44" s="22" t="s">
        <v>77</v>
      </c>
      <c r="W44" s="22" t="s">
        <v>78</v>
      </c>
      <c r="X44" s="52">
        <v>1.3</v>
      </c>
      <c r="Y44" s="52" t="s">
        <v>79</v>
      </c>
      <c r="Z44" s="52"/>
      <c r="AA44" s="53"/>
      <c r="AB44" s="392">
        <f t="shared" si="37"/>
        <v>551858.44679999992</v>
      </c>
      <c r="AC44" s="54"/>
      <c r="AD44" s="33">
        <f t="shared" si="38"/>
        <v>5248.1052</v>
      </c>
      <c r="AE44" s="48"/>
    </row>
    <row r="45" spans="1:31" s="55" customFormat="1" ht="15.75" customHeight="1">
      <c r="A45" s="22" t="s">
        <v>80</v>
      </c>
      <c r="B45" s="48" t="str">
        <f>VLOOKUP(A45,[1]Sheet1!$A:$B,2,0)</f>
        <v>RCS POD</v>
      </c>
      <c r="C45" s="22" t="s">
        <v>85</v>
      </c>
      <c r="D45" s="22">
        <v>390000216</v>
      </c>
      <c r="E45" s="22" t="s">
        <v>74</v>
      </c>
      <c r="F45" s="48" t="s">
        <v>75</v>
      </c>
      <c r="G45" s="49" t="s">
        <v>76</v>
      </c>
      <c r="H45" s="50">
        <v>2023</v>
      </c>
      <c r="I45" s="334">
        <v>6</v>
      </c>
      <c r="J45" s="338">
        <v>45608</v>
      </c>
      <c r="K45" s="245"/>
      <c r="L45" s="369">
        <v>0.1105</v>
      </c>
      <c r="M45" s="369">
        <v>0.13669999999999999</v>
      </c>
      <c r="N45" s="370">
        <v>2.6200000000000001E-2</v>
      </c>
      <c r="O45" s="370">
        <f t="shared" si="32"/>
        <v>0</v>
      </c>
      <c r="P45" s="370">
        <v>1</v>
      </c>
      <c r="Q45" s="370">
        <f t="shared" si="3"/>
        <v>0.1105</v>
      </c>
      <c r="R45" s="51">
        <v>7641423</v>
      </c>
      <c r="S45" s="33">
        <v>38461109</v>
      </c>
      <c r="T45" s="382">
        <v>4830000</v>
      </c>
      <c r="U45" s="382">
        <f t="shared" si="36"/>
        <v>3822318.9441999998</v>
      </c>
      <c r="V45" s="22" t="s">
        <v>77</v>
      </c>
      <c r="W45" s="22" t="s">
        <v>78</v>
      </c>
      <c r="X45" s="52">
        <v>1.3</v>
      </c>
      <c r="Y45" s="52" t="s">
        <v>79</v>
      </c>
      <c r="Z45" s="52"/>
      <c r="AA45" s="53"/>
      <c r="AB45" s="392">
        <f t="shared" si="37"/>
        <v>1044582.5240999999</v>
      </c>
      <c r="AC45" s="54"/>
      <c r="AD45" s="33">
        <f t="shared" si="38"/>
        <v>9933.8499000000011</v>
      </c>
      <c r="AE45" s="48"/>
    </row>
    <row r="46" spans="1:31" s="55" customFormat="1" ht="15.75" customHeight="1">
      <c r="A46" s="22" t="s">
        <v>80</v>
      </c>
      <c r="B46" s="48" t="str">
        <f>VLOOKUP(A46,[1]Sheet1!$A:$B,2,0)</f>
        <v>RCS POD</v>
      </c>
      <c r="C46" s="22" t="s">
        <v>85</v>
      </c>
      <c r="D46" s="22">
        <v>390000216</v>
      </c>
      <c r="E46" s="22" t="s">
        <v>74</v>
      </c>
      <c r="F46" s="48" t="s">
        <v>75</v>
      </c>
      <c r="G46" s="49" t="s">
        <v>76</v>
      </c>
      <c r="H46" s="50">
        <v>2023</v>
      </c>
      <c r="I46" s="334">
        <v>7</v>
      </c>
      <c r="J46" s="338">
        <v>45608</v>
      </c>
      <c r="K46" s="245"/>
      <c r="L46" s="369">
        <v>0.1105</v>
      </c>
      <c r="M46" s="369">
        <v>0.13669999999999999</v>
      </c>
      <c r="N46" s="370">
        <v>2.6200000000000001E-2</v>
      </c>
      <c r="O46" s="370">
        <f t="shared" si="32"/>
        <v>0</v>
      </c>
      <c r="P46" s="370">
        <v>1</v>
      </c>
      <c r="Q46" s="370">
        <f t="shared" si="3"/>
        <v>0.1105</v>
      </c>
      <c r="R46" s="51">
        <v>5410841</v>
      </c>
      <c r="S46" s="33">
        <v>43871950</v>
      </c>
      <c r="T46" s="382">
        <v>4830000</v>
      </c>
      <c r="U46" s="382">
        <f t="shared" si="36"/>
        <v>3680554.91</v>
      </c>
      <c r="V46" s="22" t="s">
        <v>77</v>
      </c>
      <c r="W46" s="22" t="s">
        <v>78</v>
      </c>
      <c r="X46" s="52">
        <v>1.3</v>
      </c>
      <c r="Y46" s="52" t="s">
        <v>79</v>
      </c>
      <c r="Z46" s="52"/>
      <c r="AA46" s="53"/>
      <c r="AB46" s="392">
        <f t="shared" si="37"/>
        <v>739661.96469999989</v>
      </c>
      <c r="AC46" s="54"/>
      <c r="AD46" s="33">
        <f t="shared" si="38"/>
        <v>7034.0932999999995</v>
      </c>
      <c r="AE46" s="48"/>
    </row>
    <row r="47" spans="1:31" s="55" customFormat="1" ht="15.75" customHeight="1">
      <c r="A47" s="22" t="s">
        <v>80</v>
      </c>
      <c r="B47" s="48" t="str">
        <f>VLOOKUP(A47,[1]Sheet1!$A:$B,2,0)</f>
        <v>RCS POD</v>
      </c>
      <c r="C47" s="22" t="s">
        <v>85</v>
      </c>
      <c r="D47" s="22">
        <v>390000216</v>
      </c>
      <c r="E47" s="22" t="s">
        <v>74</v>
      </c>
      <c r="F47" s="48" t="s">
        <v>75</v>
      </c>
      <c r="G47" s="49" t="s">
        <v>76</v>
      </c>
      <c r="H47" s="50">
        <v>2023</v>
      </c>
      <c r="I47" s="334">
        <v>8</v>
      </c>
      <c r="J47" s="338">
        <v>45608</v>
      </c>
      <c r="K47" s="245"/>
      <c r="L47" s="369">
        <v>0.1105</v>
      </c>
      <c r="M47" s="369">
        <v>0.13669999999999999</v>
      </c>
      <c r="N47" s="370">
        <v>2.6200000000000001E-2</v>
      </c>
      <c r="O47" s="370">
        <f t="shared" si="32"/>
        <v>0</v>
      </c>
      <c r="P47" s="370">
        <v>1</v>
      </c>
      <c r="Q47" s="370">
        <f t="shared" si="3"/>
        <v>0.1105</v>
      </c>
      <c r="R47" s="51">
        <v>7793386</v>
      </c>
      <c r="S47" s="33">
        <v>51665336</v>
      </c>
      <c r="T47" s="382">
        <v>4830000</v>
      </c>
      <c r="U47" s="382">
        <f t="shared" ref="U47:U50" si="39">T47-N47*S47</f>
        <v>3476368.1968</v>
      </c>
      <c r="V47" s="22" t="s">
        <v>77</v>
      </c>
      <c r="W47" s="22" t="s">
        <v>78</v>
      </c>
      <c r="X47" s="52">
        <v>1.3</v>
      </c>
      <c r="Y47" s="52" t="s">
        <v>79</v>
      </c>
      <c r="Z47" s="52"/>
      <c r="AA47" s="53"/>
      <c r="AB47" s="392">
        <f t="shared" ref="AB47:AB50" si="40">M47*R47</f>
        <v>1065355.8661999998</v>
      </c>
      <c r="AC47" s="54"/>
      <c r="AD47" s="33">
        <f t="shared" ref="AD47:AD50" si="41">R47*X47/1000</f>
        <v>10131.401800000001</v>
      </c>
      <c r="AE47" s="48"/>
    </row>
    <row r="48" spans="1:31" s="55" customFormat="1" ht="15.75" customHeight="1">
      <c r="A48" s="22" t="s">
        <v>80</v>
      </c>
      <c r="B48" s="48" t="str">
        <f>VLOOKUP(A48,[1]Sheet1!$A:$B,2,0)</f>
        <v>RCS POD</v>
      </c>
      <c r="C48" s="22" t="s">
        <v>85</v>
      </c>
      <c r="D48" s="22">
        <v>390000216</v>
      </c>
      <c r="E48" s="22" t="s">
        <v>74</v>
      </c>
      <c r="F48" s="48" t="s">
        <v>75</v>
      </c>
      <c r="G48" s="49" t="s">
        <v>76</v>
      </c>
      <c r="H48" s="50">
        <v>2023</v>
      </c>
      <c r="I48" s="334">
        <v>9</v>
      </c>
      <c r="J48" s="338">
        <v>45608</v>
      </c>
      <c r="K48" s="245"/>
      <c r="L48" s="369">
        <v>0.1105</v>
      </c>
      <c r="M48" s="369">
        <v>0.13669999999999999</v>
      </c>
      <c r="N48" s="370">
        <v>2.6200000000000001E-2</v>
      </c>
      <c r="O48" s="370">
        <f t="shared" si="32"/>
        <v>0</v>
      </c>
      <c r="P48" s="370">
        <v>1</v>
      </c>
      <c r="Q48" s="370">
        <f t="shared" si="3"/>
        <v>0.1105</v>
      </c>
      <c r="R48" s="51">
        <v>8796751</v>
      </c>
      <c r="S48" s="33">
        <v>60462087</v>
      </c>
      <c r="T48" s="382">
        <v>4830000</v>
      </c>
      <c r="U48" s="382">
        <f>T48-N48*S48</f>
        <v>3245893.3206000002</v>
      </c>
      <c r="V48" s="22" t="s">
        <v>77</v>
      </c>
      <c r="W48" s="22" t="s">
        <v>78</v>
      </c>
      <c r="X48" s="52">
        <v>1.3</v>
      </c>
      <c r="Y48" s="52" t="s">
        <v>79</v>
      </c>
      <c r="Z48" s="52"/>
      <c r="AA48" s="53"/>
      <c r="AB48" s="392">
        <f t="shared" si="40"/>
        <v>1202515.8617</v>
      </c>
      <c r="AC48" s="54"/>
      <c r="AD48" s="33">
        <f t="shared" si="41"/>
        <v>11435.776300000001</v>
      </c>
      <c r="AE48" s="48"/>
    </row>
    <row r="49" spans="1:31" s="55" customFormat="1" ht="15.75" customHeight="1">
      <c r="A49" s="22" t="s">
        <v>80</v>
      </c>
      <c r="B49" s="48" t="str">
        <f>VLOOKUP(A49,[1]Sheet1!$A:$B,2,0)</f>
        <v>RCS POD</v>
      </c>
      <c r="C49" s="22" t="s">
        <v>85</v>
      </c>
      <c r="D49" s="22">
        <v>390000216</v>
      </c>
      <c r="E49" s="22" t="s">
        <v>74</v>
      </c>
      <c r="F49" s="48" t="s">
        <v>75</v>
      </c>
      <c r="G49" s="49" t="s">
        <v>76</v>
      </c>
      <c r="H49" s="50">
        <v>2023</v>
      </c>
      <c r="I49" s="334">
        <v>10</v>
      </c>
      <c r="J49" s="338">
        <v>45608</v>
      </c>
      <c r="K49" s="245"/>
      <c r="L49" s="369">
        <v>0.1105</v>
      </c>
      <c r="M49" s="369">
        <v>0.13669999999999999</v>
      </c>
      <c r="N49" s="370">
        <v>2.6200000000000001E-2</v>
      </c>
      <c r="O49" s="370">
        <f t="shared" si="32"/>
        <v>0</v>
      </c>
      <c r="P49" s="370">
        <v>1</v>
      </c>
      <c r="Q49" s="370">
        <f t="shared" si="3"/>
        <v>0.1105</v>
      </c>
      <c r="R49" s="51">
        <v>8020914</v>
      </c>
      <c r="S49" s="33">
        <v>68483001</v>
      </c>
      <c r="T49" s="382">
        <v>4830000</v>
      </c>
      <c r="U49" s="382">
        <f t="shared" si="39"/>
        <v>3035745.3738000002</v>
      </c>
      <c r="V49" s="22" t="s">
        <v>77</v>
      </c>
      <c r="W49" s="22" t="s">
        <v>78</v>
      </c>
      <c r="X49" s="52">
        <v>1.3</v>
      </c>
      <c r="Y49" s="52" t="s">
        <v>79</v>
      </c>
      <c r="Z49" s="52"/>
      <c r="AA49" s="53"/>
      <c r="AB49" s="392">
        <f t="shared" si="40"/>
        <v>1096458.9438</v>
      </c>
      <c r="AC49" s="54"/>
      <c r="AD49" s="33">
        <f t="shared" si="41"/>
        <v>10427.188200000001</v>
      </c>
      <c r="AE49" s="48"/>
    </row>
    <row r="50" spans="1:31" s="55" customFormat="1" ht="15.75" customHeight="1">
      <c r="A50" s="22" t="s">
        <v>80</v>
      </c>
      <c r="B50" s="48" t="str">
        <f>VLOOKUP(A50,[1]Sheet1!$A:$B,2,0)</f>
        <v>RCS POD</v>
      </c>
      <c r="C50" s="22" t="s">
        <v>85</v>
      </c>
      <c r="D50" s="22">
        <v>390000216</v>
      </c>
      <c r="E50" s="22" t="s">
        <v>74</v>
      </c>
      <c r="F50" s="48" t="s">
        <v>75</v>
      </c>
      <c r="G50" s="49" t="s">
        <v>76</v>
      </c>
      <c r="H50" s="50">
        <v>2023</v>
      </c>
      <c r="I50" s="334">
        <v>11</v>
      </c>
      <c r="J50" s="338">
        <v>45608</v>
      </c>
      <c r="K50" s="245"/>
      <c r="L50" s="369">
        <v>0.1105</v>
      </c>
      <c r="M50" s="369">
        <v>0.13669999999999999</v>
      </c>
      <c r="N50" s="370">
        <v>2.6200000000000001E-2</v>
      </c>
      <c r="O50" s="370">
        <f t="shared" si="32"/>
        <v>0</v>
      </c>
      <c r="P50" s="370">
        <v>1</v>
      </c>
      <c r="Q50" s="370">
        <f t="shared" si="3"/>
        <v>0.1105</v>
      </c>
      <c r="R50" s="51">
        <v>5523107</v>
      </c>
      <c r="S50" s="33">
        <v>74006108</v>
      </c>
      <c r="T50" s="382">
        <v>4830000</v>
      </c>
      <c r="U50" s="382">
        <f t="shared" si="39"/>
        <v>2891039.9704</v>
      </c>
      <c r="V50" s="22" t="s">
        <v>77</v>
      </c>
      <c r="W50" s="22" t="s">
        <v>78</v>
      </c>
      <c r="X50" s="52">
        <v>1.3</v>
      </c>
      <c r="Y50" s="52" t="s">
        <v>79</v>
      </c>
      <c r="Z50" s="52"/>
      <c r="AA50" s="53"/>
      <c r="AB50" s="392">
        <f t="shared" si="40"/>
        <v>755008.72689999989</v>
      </c>
      <c r="AC50" s="54"/>
      <c r="AD50" s="33">
        <f t="shared" si="41"/>
        <v>7180.0391000000009</v>
      </c>
      <c r="AE50" s="48"/>
    </row>
    <row r="51" spans="1:31" s="55" customFormat="1" ht="15.75" customHeight="1">
      <c r="A51" s="22" t="s">
        <v>80</v>
      </c>
      <c r="B51" s="48" t="str">
        <f>VLOOKUP(A51,[1]Sheet1!$A:$B,2,0)</f>
        <v>RCS POD</v>
      </c>
      <c r="C51" s="22" t="s">
        <v>85</v>
      </c>
      <c r="D51" s="22">
        <v>390000216</v>
      </c>
      <c r="E51" s="22" t="s">
        <v>74</v>
      </c>
      <c r="F51" s="48" t="s">
        <v>75</v>
      </c>
      <c r="G51" s="49" t="s">
        <v>76</v>
      </c>
      <c r="H51" s="50">
        <v>2023</v>
      </c>
      <c r="I51" s="334">
        <v>12</v>
      </c>
      <c r="J51" s="338">
        <v>45608</v>
      </c>
      <c r="K51" s="245"/>
      <c r="L51" s="369">
        <v>0.1105</v>
      </c>
      <c r="M51" s="369">
        <v>0.13669999999999999</v>
      </c>
      <c r="N51" s="370">
        <v>2.6200000000000001E-2</v>
      </c>
      <c r="O51" s="370">
        <f t="shared" si="32"/>
        <v>0</v>
      </c>
      <c r="P51" s="370">
        <v>1</v>
      </c>
      <c r="Q51" s="370">
        <f t="shared" si="3"/>
        <v>0.1105</v>
      </c>
      <c r="R51" s="51">
        <v>4920881</v>
      </c>
      <c r="S51" s="33">
        <v>78926989</v>
      </c>
      <c r="T51" s="382">
        <v>4830000</v>
      </c>
      <c r="U51" s="382">
        <f t="shared" ref="U51" si="42">T51-N51*S51</f>
        <v>2762112.8881999999</v>
      </c>
      <c r="V51" s="22" t="s">
        <v>77</v>
      </c>
      <c r="W51" s="22" t="s">
        <v>78</v>
      </c>
      <c r="X51" s="52">
        <v>1.3</v>
      </c>
      <c r="Y51" s="52" t="s">
        <v>79</v>
      </c>
      <c r="Z51" s="52"/>
      <c r="AA51" s="53"/>
      <c r="AB51" s="392">
        <f t="shared" ref="AB51" si="43">M51*R51</f>
        <v>672684.43269999989</v>
      </c>
      <c r="AC51" s="54"/>
      <c r="AD51" s="33">
        <f t="shared" ref="AD51" si="44">R51*X51/1000</f>
        <v>6397.1453000000001</v>
      </c>
      <c r="AE51" s="48"/>
    </row>
    <row r="52" spans="1:31" s="55" customFormat="1" ht="15.75" customHeight="1">
      <c r="A52" s="22" t="s">
        <v>72</v>
      </c>
      <c r="B52" s="48" t="str">
        <f>VLOOKUP(A52,[1]Sheet1!$A:$B,2,0)</f>
        <v>RCS POD</v>
      </c>
      <c r="C52" s="22" t="s">
        <v>73</v>
      </c>
      <c r="D52" s="22">
        <v>390000214</v>
      </c>
      <c r="E52" s="22" t="s">
        <v>74</v>
      </c>
      <c r="F52" s="48" t="s">
        <v>75</v>
      </c>
      <c r="G52" s="49" t="s">
        <v>76</v>
      </c>
      <c r="H52" s="50">
        <v>2024</v>
      </c>
      <c r="I52" s="334">
        <v>1</v>
      </c>
      <c r="J52" s="338">
        <v>45608</v>
      </c>
      <c r="K52" s="245"/>
      <c r="L52" s="399">
        <v>0.28260000000000002</v>
      </c>
      <c r="M52" s="399">
        <v>0.30880000000000002</v>
      </c>
      <c r="N52" s="404">
        <v>2.6200000000000001E-2</v>
      </c>
      <c r="O52" s="370">
        <f t="shared" si="32"/>
        <v>0</v>
      </c>
      <c r="P52" s="370">
        <v>1</v>
      </c>
      <c r="Q52" s="370">
        <f t="shared" si="3"/>
        <v>0.28260000000000002</v>
      </c>
      <c r="R52" s="51">
        <v>9004203</v>
      </c>
      <c r="S52" s="33">
        <v>245452427</v>
      </c>
      <c r="T52" s="382">
        <v>9824000</v>
      </c>
      <c r="U52" s="382">
        <f>T52-N52*S52</f>
        <v>3393146.4125999995</v>
      </c>
      <c r="V52" s="22" t="s">
        <v>77</v>
      </c>
      <c r="W52" s="22" t="s">
        <v>78</v>
      </c>
      <c r="X52" s="52">
        <v>3.51</v>
      </c>
      <c r="Y52" s="52" t="s">
        <v>79</v>
      </c>
      <c r="Z52" s="52"/>
      <c r="AA52" s="53"/>
      <c r="AB52" s="392">
        <f>M52*R52</f>
        <v>2780497.8864000002</v>
      </c>
      <c r="AC52" s="54"/>
      <c r="AD52" s="33">
        <f t="shared" ref="AD52:AD159" si="45">R52*X52/1000</f>
        <v>31604.752529999998</v>
      </c>
      <c r="AE52" s="48"/>
    </row>
    <row r="53" spans="1:31" s="55" customFormat="1" ht="15.75" customHeight="1">
      <c r="A53" s="22" t="s">
        <v>80</v>
      </c>
      <c r="B53" s="48" t="str">
        <f>VLOOKUP(A53,[1]Sheet1!$A:$B,2,0)</f>
        <v>RCS POD</v>
      </c>
      <c r="C53" s="248" t="s">
        <v>81</v>
      </c>
      <c r="D53" s="22">
        <v>390000221</v>
      </c>
      <c r="E53" s="22" t="s">
        <v>74</v>
      </c>
      <c r="F53" s="48" t="s">
        <v>75</v>
      </c>
      <c r="G53" s="49" t="s">
        <v>76</v>
      </c>
      <c r="H53" s="50">
        <v>2024</v>
      </c>
      <c r="I53" s="334">
        <v>1</v>
      </c>
      <c r="J53" s="338">
        <v>45608</v>
      </c>
      <c r="K53" s="245"/>
      <c r="L53" s="399">
        <v>0.1016</v>
      </c>
      <c r="M53" s="399">
        <v>0.1278</v>
      </c>
      <c r="N53" s="404">
        <v>2.6200000000000001E-2</v>
      </c>
      <c r="O53" s="370">
        <f t="shared" si="32"/>
        <v>0</v>
      </c>
      <c r="P53" s="370">
        <v>1</v>
      </c>
      <c r="Q53" s="370">
        <f t="shared" si="3"/>
        <v>0.1016</v>
      </c>
      <c r="R53" s="51">
        <v>7353494</v>
      </c>
      <c r="S53" s="33">
        <v>235847044</v>
      </c>
      <c r="T53" s="382">
        <v>4280500</v>
      </c>
      <c r="U53" s="382">
        <f t="shared" ref="U53:U159" si="46">T53-N53*S53</f>
        <v>-1898692.5528000006</v>
      </c>
      <c r="V53" s="22" t="s">
        <v>82</v>
      </c>
      <c r="W53" s="22" t="s">
        <v>78</v>
      </c>
      <c r="X53" s="52">
        <v>1.4</v>
      </c>
      <c r="Y53" s="52" t="s">
        <v>83</v>
      </c>
      <c r="Z53" s="52"/>
      <c r="AA53" s="53"/>
      <c r="AB53" s="392">
        <f t="shared" ref="AB53:AB192" si="47">M53*R53</f>
        <v>939776.53319999995</v>
      </c>
      <c r="AC53" s="54"/>
      <c r="AD53" s="33">
        <f t="shared" si="45"/>
        <v>10294.891599999999</v>
      </c>
      <c r="AE53" s="48"/>
    </row>
    <row r="54" spans="1:31" s="55" customFormat="1" ht="15.75" customHeight="1">
      <c r="A54" s="22" t="s">
        <v>80</v>
      </c>
      <c r="B54" s="48" t="str">
        <f>VLOOKUP(A54,[1]Sheet1!$A:$B,2,0)</f>
        <v>RCS POD</v>
      </c>
      <c r="C54" s="22" t="s">
        <v>84</v>
      </c>
      <c r="D54" s="22">
        <v>390000215</v>
      </c>
      <c r="E54" s="22" t="s">
        <v>74</v>
      </c>
      <c r="F54" s="48" t="s">
        <v>75</v>
      </c>
      <c r="G54" s="49" t="s">
        <v>76</v>
      </c>
      <c r="H54" s="50">
        <v>2024</v>
      </c>
      <c r="I54" s="334">
        <v>1</v>
      </c>
      <c r="J54" s="338">
        <v>45608</v>
      </c>
      <c r="K54" s="245"/>
      <c r="L54" s="399">
        <v>9.9199999999999997E-2</v>
      </c>
      <c r="M54" s="399">
        <v>0.12540000000000001</v>
      </c>
      <c r="N54" s="404">
        <v>2.6200000000000001E-2</v>
      </c>
      <c r="O54" s="370">
        <f t="shared" si="32"/>
        <v>0</v>
      </c>
      <c r="P54" s="370">
        <v>1</v>
      </c>
      <c r="Q54" s="370">
        <f t="shared" si="3"/>
        <v>9.9199999999999997E-2</v>
      </c>
      <c r="R54" s="51">
        <v>6975968</v>
      </c>
      <c r="S54" s="33">
        <v>239947931</v>
      </c>
      <c r="T54" s="382">
        <v>4592000</v>
      </c>
      <c r="U54" s="382">
        <f t="shared" si="46"/>
        <v>-1694635.7922</v>
      </c>
      <c r="V54" s="22" t="s">
        <v>77</v>
      </c>
      <c r="W54" s="22" t="s">
        <v>78</v>
      </c>
      <c r="X54" s="52">
        <v>1.53</v>
      </c>
      <c r="Y54" s="52" t="s">
        <v>79</v>
      </c>
      <c r="Z54" s="52"/>
      <c r="AA54" s="53"/>
      <c r="AB54" s="392">
        <f t="shared" si="47"/>
        <v>874786.38720000011</v>
      </c>
      <c r="AC54" s="54"/>
      <c r="AD54" s="33">
        <f t="shared" si="45"/>
        <v>10673.231040000001</v>
      </c>
      <c r="AE54" s="48"/>
    </row>
    <row r="55" spans="1:31" s="55" customFormat="1" ht="15.75" customHeight="1">
      <c r="A55" s="22" t="s">
        <v>80</v>
      </c>
      <c r="B55" s="48" t="str">
        <f>VLOOKUP(A55,[1]Sheet1!$A:$B,2,0)</f>
        <v>RCS POD</v>
      </c>
      <c r="C55" s="22" t="s">
        <v>85</v>
      </c>
      <c r="D55" s="22">
        <v>390000216</v>
      </c>
      <c r="E55" s="22" t="s">
        <v>74</v>
      </c>
      <c r="F55" s="48" t="s">
        <v>75</v>
      </c>
      <c r="G55" s="49" t="s">
        <v>76</v>
      </c>
      <c r="H55" s="50">
        <v>2024</v>
      </c>
      <c r="I55" s="334">
        <v>1</v>
      </c>
      <c r="J55" s="338">
        <v>45608</v>
      </c>
      <c r="K55" s="245"/>
      <c r="L55" s="399">
        <v>0.1105</v>
      </c>
      <c r="M55" s="399">
        <v>0.13669999999999999</v>
      </c>
      <c r="N55" s="404">
        <v>2.6200000000000001E-2</v>
      </c>
      <c r="O55" s="370">
        <f t="shared" si="32"/>
        <v>0</v>
      </c>
      <c r="P55" s="370">
        <v>1</v>
      </c>
      <c r="Q55" s="370">
        <f t="shared" si="3"/>
        <v>0.1105</v>
      </c>
      <c r="R55" s="51">
        <v>6989168</v>
      </c>
      <c r="S55" s="33">
        <v>241124340</v>
      </c>
      <c r="T55" s="382">
        <v>4830000</v>
      </c>
      <c r="U55" s="382">
        <f t="shared" si="46"/>
        <v>-1487457.7080000006</v>
      </c>
      <c r="V55" s="22" t="s">
        <v>77</v>
      </c>
      <c r="W55" s="22" t="s">
        <v>78</v>
      </c>
      <c r="X55" s="52">
        <v>1.3</v>
      </c>
      <c r="Y55" s="52" t="s">
        <v>79</v>
      </c>
      <c r="Z55" s="52"/>
      <c r="AA55" s="53"/>
      <c r="AB55" s="392">
        <f t="shared" si="47"/>
        <v>955419.26559999993</v>
      </c>
      <c r="AC55" s="54"/>
      <c r="AD55" s="33">
        <f t="shared" si="45"/>
        <v>9085.9184000000005</v>
      </c>
      <c r="AE55" s="48"/>
    </row>
    <row r="56" spans="1:31" s="55" customFormat="1" ht="15.75" customHeight="1">
      <c r="A56" s="56" t="s">
        <v>86</v>
      </c>
      <c r="B56" s="10" t="str">
        <f>VLOOKUP(A56,[1]Sheet1!$A:$B,2,0)</f>
        <v>MODI</v>
      </c>
      <c r="C56" s="20" t="s">
        <v>87</v>
      </c>
      <c r="D56" s="44">
        <v>310493191000</v>
      </c>
      <c r="E56" s="22" t="s">
        <v>74</v>
      </c>
      <c r="F56" s="48" t="s">
        <v>75</v>
      </c>
      <c r="G56" s="49" t="s">
        <v>76</v>
      </c>
      <c r="H56" s="50">
        <v>2023</v>
      </c>
      <c r="I56" s="334">
        <v>5</v>
      </c>
      <c r="J56" s="338">
        <v>45608</v>
      </c>
      <c r="K56" s="228"/>
      <c r="L56" s="369">
        <v>0.28620000000000001</v>
      </c>
      <c r="M56" s="369">
        <v>0.31727334999999995</v>
      </c>
      <c r="N56" s="370">
        <v>3.1099999999999999E-2</v>
      </c>
      <c r="O56" s="371">
        <f t="shared" si="32"/>
        <v>0</v>
      </c>
      <c r="P56" s="370">
        <v>1</v>
      </c>
      <c r="Q56" s="370">
        <f t="shared" si="3"/>
        <v>0.28620000000000001</v>
      </c>
      <c r="R56" s="51">
        <v>3381520</v>
      </c>
      <c r="S56" s="33">
        <v>3381520</v>
      </c>
      <c r="T56" s="382">
        <v>5970000</v>
      </c>
      <c r="U56" s="382">
        <f t="shared" ref="U56" si="48">T56-N56*S56</f>
        <v>5864834.7280000001</v>
      </c>
      <c r="V56" s="57" t="s">
        <v>88</v>
      </c>
      <c r="W56" s="22" t="s">
        <v>78</v>
      </c>
      <c r="X56" s="52">
        <v>4.03</v>
      </c>
      <c r="Y56" s="52" t="s">
        <v>79</v>
      </c>
      <c r="Z56" s="52"/>
      <c r="AA56" s="53"/>
      <c r="AB56" s="392">
        <f t="shared" ref="AB56" si="49">M56*R56</f>
        <v>1072866.1784919999</v>
      </c>
      <c r="AC56" s="54"/>
      <c r="AD56" s="33">
        <f t="shared" ref="AD56" si="50">R56*X56/1000</f>
        <v>13627.525600000001</v>
      </c>
      <c r="AE56" s="48"/>
    </row>
    <row r="57" spans="1:31" s="55" customFormat="1" ht="15.75" customHeight="1">
      <c r="A57" s="56" t="s">
        <v>86</v>
      </c>
      <c r="B57" s="10" t="str">
        <f>VLOOKUP(A57,[1]Sheet1!$A:$B,2,0)</f>
        <v>MODI</v>
      </c>
      <c r="C57" s="20" t="s">
        <v>87</v>
      </c>
      <c r="D57" s="44">
        <v>310493191000</v>
      </c>
      <c r="E57" s="22" t="s">
        <v>74</v>
      </c>
      <c r="F57" s="48" t="s">
        <v>75</v>
      </c>
      <c r="G57" s="49" t="s">
        <v>76</v>
      </c>
      <c r="H57" s="50">
        <v>2023</v>
      </c>
      <c r="I57" s="334">
        <v>6</v>
      </c>
      <c r="J57" s="338">
        <v>45608</v>
      </c>
      <c r="K57" s="228"/>
      <c r="L57" s="369">
        <v>0.28620000000000001</v>
      </c>
      <c r="M57" s="369">
        <v>0.31727334999999995</v>
      </c>
      <c r="N57" s="370">
        <v>3.1099999999999999E-2</v>
      </c>
      <c r="O57" s="371">
        <f t="shared" si="32"/>
        <v>0</v>
      </c>
      <c r="P57" s="370">
        <v>1</v>
      </c>
      <c r="Q57" s="370">
        <f t="shared" si="3"/>
        <v>0.28620000000000001</v>
      </c>
      <c r="R57" s="51">
        <v>7751040</v>
      </c>
      <c r="S57" s="33">
        <v>11132560</v>
      </c>
      <c r="T57" s="382">
        <v>5970000</v>
      </c>
      <c r="U57" s="382">
        <f t="shared" ref="U57:U58" si="51">T57-N57*S57</f>
        <v>5623777.3839999996</v>
      </c>
      <c r="V57" s="57" t="s">
        <v>88</v>
      </c>
      <c r="W57" s="22" t="s">
        <v>78</v>
      </c>
      <c r="X57" s="52">
        <v>4.03</v>
      </c>
      <c r="Y57" s="52" t="s">
        <v>79</v>
      </c>
      <c r="Z57" s="52"/>
      <c r="AA57" s="53"/>
      <c r="AB57" s="392">
        <f t="shared" ref="AB57:AB58" si="52">M57*R57</f>
        <v>2459198.4267839994</v>
      </c>
      <c r="AC57" s="54"/>
      <c r="AD57" s="33">
        <f t="shared" ref="AD57:AD58" si="53">R57*X57/1000</f>
        <v>31236.691200000005</v>
      </c>
      <c r="AE57" s="48"/>
    </row>
    <row r="58" spans="1:31" s="55" customFormat="1" ht="15.75" customHeight="1">
      <c r="A58" s="56" t="s">
        <v>86</v>
      </c>
      <c r="B58" s="10" t="str">
        <f>VLOOKUP(A58,[1]Sheet1!$A:$B,2,0)</f>
        <v>MODI</v>
      </c>
      <c r="C58" s="20" t="s">
        <v>87</v>
      </c>
      <c r="D58" s="44">
        <v>310493191000</v>
      </c>
      <c r="E58" s="22" t="s">
        <v>74</v>
      </c>
      <c r="F58" s="48" t="s">
        <v>75</v>
      </c>
      <c r="G58" s="49" t="s">
        <v>76</v>
      </c>
      <c r="H58" s="50">
        <v>2023</v>
      </c>
      <c r="I58" s="334">
        <v>7</v>
      </c>
      <c r="J58" s="338">
        <v>45608</v>
      </c>
      <c r="K58" s="228"/>
      <c r="L58" s="369">
        <v>0.28620000000000001</v>
      </c>
      <c r="M58" s="369">
        <v>0.31727334999999995</v>
      </c>
      <c r="N58" s="370">
        <v>3.1099999999999999E-2</v>
      </c>
      <c r="O58" s="371">
        <f t="shared" si="32"/>
        <v>0</v>
      </c>
      <c r="P58" s="370">
        <v>1</v>
      </c>
      <c r="Q58" s="370">
        <f t="shared" si="3"/>
        <v>0.28620000000000001</v>
      </c>
      <c r="R58" s="51">
        <v>9518640</v>
      </c>
      <c r="S58" s="33">
        <v>20651200</v>
      </c>
      <c r="T58" s="382">
        <v>5970000</v>
      </c>
      <c r="U58" s="382">
        <f t="shared" si="51"/>
        <v>5327747.68</v>
      </c>
      <c r="V58" s="57" t="s">
        <v>88</v>
      </c>
      <c r="W58" s="22" t="s">
        <v>78</v>
      </c>
      <c r="X58" s="52">
        <v>4.03</v>
      </c>
      <c r="Y58" s="52" t="s">
        <v>79</v>
      </c>
      <c r="Z58" s="52"/>
      <c r="AA58" s="53"/>
      <c r="AB58" s="392">
        <f t="shared" si="52"/>
        <v>3020010.8002439993</v>
      </c>
      <c r="AC58" s="54"/>
      <c r="AD58" s="33">
        <f t="shared" si="53"/>
        <v>38360.119200000001</v>
      </c>
      <c r="AE58" s="48"/>
    </row>
    <row r="59" spans="1:31" s="55" customFormat="1" ht="15.75" customHeight="1">
      <c r="A59" s="56" t="s">
        <v>86</v>
      </c>
      <c r="B59" s="10" t="str">
        <f>VLOOKUP(A59,[1]Sheet1!$A:$B,2,0)</f>
        <v>MODI</v>
      </c>
      <c r="C59" s="20" t="s">
        <v>87</v>
      </c>
      <c r="D59" s="44">
        <v>310493191000</v>
      </c>
      <c r="E59" s="22" t="s">
        <v>74</v>
      </c>
      <c r="F59" s="48" t="str">
        <f>+++'Spend Track (part)'!F89</f>
        <v>/</v>
      </c>
      <c r="G59" s="49" t="s">
        <v>76</v>
      </c>
      <c r="H59" s="50">
        <v>2023</v>
      </c>
      <c r="I59" s="334">
        <v>8</v>
      </c>
      <c r="J59" s="338">
        <v>45608</v>
      </c>
      <c r="K59" s="228"/>
      <c r="L59" s="369">
        <v>0.28620000000000001</v>
      </c>
      <c r="M59" s="369">
        <v>0.31727334999999995</v>
      </c>
      <c r="N59" s="370">
        <v>3.1099999999999999E-2</v>
      </c>
      <c r="O59" s="371">
        <f t="shared" si="32"/>
        <v>0</v>
      </c>
      <c r="P59" s="370">
        <v>1</v>
      </c>
      <c r="Q59" s="370">
        <f t="shared" si="3"/>
        <v>0.28620000000000001</v>
      </c>
      <c r="R59" s="51">
        <v>10942560</v>
      </c>
      <c r="S59" s="33">
        <v>31593760</v>
      </c>
      <c r="T59" s="382">
        <v>5970000</v>
      </c>
      <c r="U59" s="382">
        <f t="shared" ref="U59:U62" si="54">T59-N59*S59</f>
        <v>4987434.0640000002</v>
      </c>
      <c r="V59" s="57" t="s">
        <v>88</v>
      </c>
      <c r="W59" s="22" t="s">
        <v>78</v>
      </c>
      <c r="X59" s="52">
        <v>4.03</v>
      </c>
      <c r="Y59" s="52" t="s">
        <v>79</v>
      </c>
      <c r="Z59" s="52"/>
      <c r="AA59" s="53"/>
      <c r="AB59" s="392">
        <f t="shared" ref="AB59:AB62" si="55">M59*R59</f>
        <v>3471782.6687759995</v>
      </c>
      <c r="AC59" s="54"/>
      <c r="AD59" s="33">
        <f t="shared" ref="AD59:AD62" si="56">R59*X59/1000</f>
        <v>44098.516800000005</v>
      </c>
      <c r="AE59" s="48"/>
    </row>
    <row r="60" spans="1:31" s="55" customFormat="1" ht="15.75" customHeight="1">
      <c r="A60" s="56" t="s">
        <v>86</v>
      </c>
      <c r="B60" s="10" t="str">
        <f>VLOOKUP(A60,[1]Sheet1!$A:$B,2,0)</f>
        <v>MODI</v>
      </c>
      <c r="C60" s="20" t="s">
        <v>87</v>
      </c>
      <c r="D60" s="44">
        <v>310493191000</v>
      </c>
      <c r="E60" s="22" t="s">
        <v>74</v>
      </c>
      <c r="F60" s="48" t="s">
        <v>75</v>
      </c>
      <c r="G60" s="49" t="s">
        <v>76</v>
      </c>
      <c r="H60" s="50">
        <v>2023</v>
      </c>
      <c r="I60" s="334">
        <v>9</v>
      </c>
      <c r="J60" s="338">
        <v>45608</v>
      </c>
      <c r="K60" s="228"/>
      <c r="L60" s="369">
        <v>0.28620000000000001</v>
      </c>
      <c r="M60" s="369">
        <v>0.31727334999999995</v>
      </c>
      <c r="N60" s="370">
        <v>3.1099999999999999E-2</v>
      </c>
      <c r="O60" s="371">
        <f t="shared" si="32"/>
        <v>0</v>
      </c>
      <c r="P60" s="370">
        <v>1</v>
      </c>
      <c r="Q60" s="370">
        <f t="shared" si="3"/>
        <v>0.28620000000000001</v>
      </c>
      <c r="R60" s="51">
        <v>5074921</v>
      </c>
      <c r="S60" s="33">
        <v>36668681</v>
      </c>
      <c r="T60" s="382">
        <v>5970000</v>
      </c>
      <c r="U60" s="382">
        <f t="shared" si="54"/>
        <v>4829604.0208999999</v>
      </c>
      <c r="V60" s="57" t="s">
        <v>88</v>
      </c>
      <c r="W60" s="22" t="s">
        <v>78</v>
      </c>
      <c r="X60" s="52">
        <v>4.03</v>
      </c>
      <c r="Y60" s="52" t="s">
        <v>79</v>
      </c>
      <c r="Z60" s="52"/>
      <c r="AA60" s="53"/>
      <c r="AB60" s="392">
        <f t="shared" si="55"/>
        <v>1610137.1866553498</v>
      </c>
      <c r="AC60" s="54"/>
      <c r="AD60" s="33">
        <f t="shared" si="56"/>
        <v>20451.931630000003</v>
      </c>
      <c r="AE60" s="48"/>
    </row>
    <row r="61" spans="1:31" s="55" customFormat="1" ht="15.75" customHeight="1">
      <c r="A61" s="56" t="s">
        <v>86</v>
      </c>
      <c r="B61" s="10" t="str">
        <f>VLOOKUP(A61,[1]Sheet1!$A:$B,2,0)</f>
        <v>MODI</v>
      </c>
      <c r="C61" s="20" t="s">
        <v>87</v>
      </c>
      <c r="D61" s="44">
        <v>310493191000</v>
      </c>
      <c r="E61" s="22" t="s">
        <v>74</v>
      </c>
      <c r="F61" s="48" t="s">
        <v>75</v>
      </c>
      <c r="G61" s="49" t="s">
        <v>76</v>
      </c>
      <c r="H61" s="50">
        <v>2023</v>
      </c>
      <c r="I61" s="334">
        <v>10</v>
      </c>
      <c r="J61" s="338">
        <v>45608</v>
      </c>
      <c r="K61" s="228"/>
      <c r="L61" s="369">
        <v>0.28620000000000001</v>
      </c>
      <c r="M61" s="369">
        <v>0.31727334999999995</v>
      </c>
      <c r="N61" s="370">
        <v>3.1099999999999999E-2</v>
      </c>
      <c r="O61" s="371">
        <f t="shared" si="32"/>
        <v>0</v>
      </c>
      <c r="P61" s="370">
        <v>1</v>
      </c>
      <c r="Q61" s="370">
        <f t="shared" si="3"/>
        <v>0.28620000000000001</v>
      </c>
      <c r="R61" s="51">
        <v>2976480</v>
      </c>
      <c r="S61" s="33">
        <v>39645161</v>
      </c>
      <c r="T61" s="382">
        <v>5970000</v>
      </c>
      <c r="U61" s="382">
        <f t="shared" si="54"/>
        <v>4737035.4929</v>
      </c>
      <c r="V61" s="57" t="s">
        <v>88</v>
      </c>
      <c r="W61" s="22" t="s">
        <v>78</v>
      </c>
      <c r="X61" s="52">
        <v>4.03</v>
      </c>
      <c r="Y61" s="52" t="s">
        <v>79</v>
      </c>
      <c r="Z61" s="52"/>
      <c r="AA61" s="53"/>
      <c r="AB61" s="392">
        <f t="shared" si="55"/>
        <v>944357.78080799989</v>
      </c>
      <c r="AC61" s="54"/>
      <c r="AD61" s="33">
        <f t="shared" si="56"/>
        <v>11995.214400000001</v>
      </c>
      <c r="AE61" s="48"/>
    </row>
    <row r="62" spans="1:31" s="55" customFormat="1" ht="15.75" customHeight="1">
      <c r="A62" s="56" t="s">
        <v>86</v>
      </c>
      <c r="B62" s="10" t="str">
        <f>VLOOKUP(A62,[1]Sheet1!$A:$B,2,0)</f>
        <v>MODI</v>
      </c>
      <c r="C62" s="20" t="s">
        <v>87</v>
      </c>
      <c r="D62" s="44">
        <v>310493191000</v>
      </c>
      <c r="E62" s="22" t="s">
        <v>74</v>
      </c>
      <c r="F62" s="48" t="s">
        <v>75</v>
      </c>
      <c r="G62" s="49" t="s">
        <v>76</v>
      </c>
      <c r="H62" s="50">
        <v>2023</v>
      </c>
      <c r="I62" s="334">
        <v>11</v>
      </c>
      <c r="J62" s="338">
        <v>45608</v>
      </c>
      <c r="K62" s="228"/>
      <c r="L62" s="369">
        <v>0.28620000000000001</v>
      </c>
      <c r="M62" s="369">
        <v>0.31727334999999995</v>
      </c>
      <c r="N62" s="370">
        <v>3.1099999999999999E-2</v>
      </c>
      <c r="O62" s="371">
        <f t="shared" si="32"/>
        <v>0</v>
      </c>
      <c r="P62" s="370">
        <v>1</v>
      </c>
      <c r="Q62" s="370">
        <f t="shared" si="3"/>
        <v>0.28620000000000001</v>
      </c>
      <c r="R62" s="51">
        <v>1569581</v>
      </c>
      <c r="S62" s="33">
        <v>41214742</v>
      </c>
      <c r="T62" s="382">
        <v>5970000</v>
      </c>
      <c r="U62" s="382">
        <f t="shared" si="54"/>
        <v>4688221.5238000005</v>
      </c>
      <c r="V62" s="57" t="s">
        <v>88</v>
      </c>
      <c r="W62" s="22" t="s">
        <v>78</v>
      </c>
      <c r="X62" s="52">
        <v>4.03</v>
      </c>
      <c r="Y62" s="52" t="s">
        <v>79</v>
      </c>
      <c r="Z62" s="52"/>
      <c r="AA62" s="53"/>
      <c r="AB62" s="392">
        <f t="shared" si="55"/>
        <v>497986.22196634993</v>
      </c>
      <c r="AC62" s="54"/>
      <c r="AD62" s="33">
        <f t="shared" si="56"/>
        <v>6325.411430000001</v>
      </c>
      <c r="AE62" s="48"/>
    </row>
    <row r="63" spans="1:31" s="55" customFormat="1" ht="15.75" customHeight="1">
      <c r="A63" s="56" t="s">
        <v>86</v>
      </c>
      <c r="B63" s="10" t="str">
        <f>VLOOKUP(A63,[1]Sheet1!$A:$B,2,0)</f>
        <v>MODI</v>
      </c>
      <c r="C63" s="20" t="s">
        <v>87</v>
      </c>
      <c r="D63" s="44">
        <v>310493191000</v>
      </c>
      <c r="E63" s="22" t="s">
        <v>74</v>
      </c>
      <c r="F63" s="48" t="s">
        <v>75</v>
      </c>
      <c r="G63" s="49" t="s">
        <v>76</v>
      </c>
      <c r="H63" s="50">
        <v>2023</v>
      </c>
      <c r="I63" s="334">
        <v>12</v>
      </c>
      <c r="J63" s="338">
        <v>45608</v>
      </c>
      <c r="K63" s="228"/>
      <c r="L63" s="369">
        <v>0.28620000000000001</v>
      </c>
      <c r="M63" s="369">
        <v>0.31727334999999995</v>
      </c>
      <c r="N63" s="370">
        <v>3.1099999999999999E-2</v>
      </c>
      <c r="O63" s="371">
        <f t="shared" si="32"/>
        <v>0</v>
      </c>
      <c r="P63" s="370">
        <v>1</v>
      </c>
      <c r="Q63" s="370">
        <f t="shared" si="3"/>
        <v>0.28620000000000001</v>
      </c>
      <c r="R63" s="51">
        <v>549985</v>
      </c>
      <c r="S63" s="33">
        <v>41764727</v>
      </c>
      <c r="T63" s="382">
        <v>5970000</v>
      </c>
      <c r="U63" s="382">
        <f t="shared" ref="U63:U64" si="57">T63-N63*S63</f>
        <v>4671116.9902999997</v>
      </c>
      <c r="V63" s="57" t="s">
        <v>88</v>
      </c>
      <c r="W63" s="22" t="s">
        <v>78</v>
      </c>
      <c r="X63" s="52">
        <v>4.03</v>
      </c>
      <c r="Y63" s="52" t="s">
        <v>79</v>
      </c>
      <c r="Z63" s="52"/>
      <c r="AA63" s="53"/>
      <c r="AB63" s="392">
        <f t="shared" ref="AB63:AB64" si="58">M63*R63</f>
        <v>174495.58339974997</v>
      </c>
      <c r="AC63" s="54"/>
      <c r="AD63" s="33">
        <f t="shared" ref="AD63:AD64" si="59">R63*X63/1000</f>
        <v>2216.4395500000001</v>
      </c>
      <c r="AE63" s="48"/>
    </row>
    <row r="64" spans="1:31" s="55" customFormat="1" ht="15.75" customHeight="1">
      <c r="A64" s="56" t="s">
        <v>86</v>
      </c>
      <c r="B64" s="10" t="str">
        <f>VLOOKUP(A64,[1]Sheet1!$A:$B,2,0)</f>
        <v>MODI</v>
      </c>
      <c r="C64" s="20" t="s">
        <v>89</v>
      </c>
      <c r="D64" s="44">
        <v>310493192000</v>
      </c>
      <c r="E64" s="22" t="s">
        <v>74</v>
      </c>
      <c r="F64" s="48" t="s">
        <v>75</v>
      </c>
      <c r="G64" s="49" t="s">
        <v>76</v>
      </c>
      <c r="H64" s="50">
        <v>2023</v>
      </c>
      <c r="I64" s="334">
        <v>5</v>
      </c>
      <c r="J64" s="338">
        <v>45608</v>
      </c>
      <c r="K64" s="228"/>
      <c r="L64" s="369">
        <v>4.5900000000000003E-2</v>
      </c>
      <c r="M64" s="369">
        <v>5.6375000000000001E-2</v>
      </c>
      <c r="N64" s="370">
        <v>1.0500000000000001E-2</v>
      </c>
      <c r="O64" s="371">
        <f t="shared" si="32"/>
        <v>0</v>
      </c>
      <c r="P64" s="370">
        <v>1</v>
      </c>
      <c r="Q64" s="370">
        <f t="shared" si="3"/>
        <v>4.5900000000000003E-2</v>
      </c>
      <c r="R64" s="51">
        <v>2739500</v>
      </c>
      <c r="S64" s="33">
        <v>2739500</v>
      </c>
      <c r="T64" s="382">
        <v>2514000</v>
      </c>
      <c r="U64" s="382">
        <f t="shared" si="57"/>
        <v>2485235.25</v>
      </c>
      <c r="V64" s="57" t="s">
        <v>88</v>
      </c>
      <c r="W64" s="22" t="s">
        <v>78</v>
      </c>
      <c r="X64" s="52">
        <v>0.43</v>
      </c>
      <c r="Y64" s="52" t="s">
        <v>79</v>
      </c>
      <c r="Z64" s="52"/>
      <c r="AA64" s="53"/>
      <c r="AB64" s="392">
        <f t="shared" si="58"/>
        <v>154439.3125</v>
      </c>
      <c r="AC64" s="54"/>
      <c r="AD64" s="33">
        <f t="shared" si="59"/>
        <v>1177.9849999999999</v>
      </c>
      <c r="AE64" s="48"/>
    </row>
    <row r="65" spans="1:31" s="55" customFormat="1" ht="15.75" customHeight="1">
      <c r="A65" s="56" t="s">
        <v>86</v>
      </c>
      <c r="B65" s="10" t="str">
        <f>VLOOKUP(A65,[1]Sheet1!$A:$B,2,0)</f>
        <v>MODI</v>
      </c>
      <c r="C65" s="20" t="s">
        <v>89</v>
      </c>
      <c r="D65" s="44">
        <v>310493192000</v>
      </c>
      <c r="E65" s="22" t="s">
        <v>74</v>
      </c>
      <c r="F65" s="48" t="s">
        <v>75</v>
      </c>
      <c r="G65" s="49" t="s">
        <v>76</v>
      </c>
      <c r="H65" s="50">
        <v>2023</v>
      </c>
      <c r="I65" s="334">
        <v>6</v>
      </c>
      <c r="J65" s="338">
        <v>45608</v>
      </c>
      <c r="K65" s="228"/>
      <c r="L65" s="369">
        <v>4.5900000000000003E-2</v>
      </c>
      <c r="M65" s="369">
        <v>5.6375000000000001E-2</v>
      </c>
      <c r="N65" s="370">
        <v>1.0500000000000001E-2</v>
      </c>
      <c r="O65" s="371">
        <f t="shared" si="32"/>
        <v>0</v>
      </c>
      <c r="P65" s="370">
        <v>1</v>
      </c>
      <c r="Q65" s="370">
        <f t="shared" si="3"/>
        <v>4.5900000000000003E-2</v>
      </c>
      <c r="R65" s="51">
        <v>5757500</v>
      </c>
      <c r="S65" s="33">
        <v>8497000</v>
      </c>
      <c r="T65" s="382">
        <v>2514000</v>
      </c>
      <c r="U65" s="382">
        <f t="shared" ref="U65:U66" si="60">T65-N65*S65</f>
        <v>2424781.5</v>
      </c>
      <c r="V65" s="57" t="s">
        <v>88</v>
      </c>
      <c r="W65" s="22" t="s">
        <v>78</v>
      </c>
      <c r="X65" s="52">
        <v>0.43</v>
      </c>
      <c r="Y65" s="52" t="s">
        <v>79</v>
      </c>
      <c r="Z65" s="52"/>
      <c r="AA65" s="53"/>
      <c r="AB65" s="392">
        <f t="shared" ref="AB65:AB66" si="61">M65*R65</f>
        <v>324579.0625</v>
      </c>
      <c r="AC65" s="54"/>
      <c r="AD65" s="33">
        <f t="shared" ref="AD65:AD66" si="62">R65*X65/1000</f>
        <v>2475.7249999999999</v>
      </c>
      <c r="AE65" s="48"/>
    </row>
    <row r="66" spans="1:31" s="55" customFormat="1" ht="15.75" customHeight="1">
      <c r="A66" s="56" t="s">
        <v>86</v>
      </c>
      <c r="B66" s="10" t="str">
        <f>VLOOKUP(A66,[1]Sheet1!$A:$B,2,0)</f>
        <v>MODI</v>
      </c>
      <c r="C66" s="20" t="s">
        <v>89</v>
      </c>
      <c r="D66" s="44">
        <v>310493192000</v>
      </c>
      <c r="E66" s="22" t="s">
        <v>74</v>
      </c>
      <c r="F66" s="48" t="s">
        <v>75</v>
      </c>
      <c r="G66" s="49" t="s">
        <v>76</v>
      </c>
      <c r="H66" s="50">
        <v>2023</v>
      </c>
      <c r="I66" s="334">
        <v>7</v>
      </c>
      <c r="J66" s="338">
        <v>45608</v>
      </c>
      <c r="K66" s="228"/>
      <c r="L66" s="369">
        <v>4.5900000000000003E-2</v>
      </c>
      <c r="M66" s="369">
        <v>5.6375000000000001E-2</v>
      </c>
      <c r="N66" s="370">
        <v>1.0500000000000001E-2</v>
      </c>
      <c r="O66" s="371">
        <f t="shared" si="32"/>
        <v>0</v>
      </c>
      <c r="P66" s="370">
        <v>1</v>
      </c>
      <c r="Q66" s="370">
        <f t="shared" si="3"/>
        <v>4.5900000000000003E-2</v>
      </c>
      <c r="R66" s="51">
        <v>12143000</v>
      </c>
      <c r="S66" s="33">
        <v>20640000</v>
      </c>
      <c r="T66" s="382">
        <v>2514000</v>
      </c>
      <c r="U66" s="382">
        <f t="shared" si="60"/>
        <v>2297280</v>
      </c>
      <c r="V66" s="57" t="s">
        <v>88</v>
      </c>
      <c r="W66" s="22" t="s">
        <v>78</v>
      </c>
      <c r="X66" s="52">
        <v>0.43</v>
      </c>
      <c r="Y66" s="52" t="s">
        <v>79</v>
      </c>
      <c r="Z66" s="52"/>
      <c r="AA66" s="53"/>
      <c r="AB66" s="392">
        <f t="shared" si="61"/>
        <v>684561.625</v>
      </c>
      <c r="AC66" s="54"/>
      <c r="AD66" s="33">
        <f t="shared" si="62"/>
        <v>5221.49</v>
      </c>
      <c r="AE66" s="48"/>
    </row>
    <row r="67" spans="1:31" s="55" customFormat="1" ht="15.75" customHeight="1">
      <c r="A67" s="56" t="s">
        <v>86</v>
      </c>
      <c r="B67" s="10" t="str">
        <f>VLOOKUP(A67,[1]Sheet1!$A:$B,2,0)</f>
        <v>MODI</v>
      </c>
      <c r="C67" s="20" t="s">
        <v>89</v>
      </c>
      <c r="D67" s="44">
        <v>310493192000</v>
      </c>
      <c r="E67" s="22" t="s">
        <v>74</v>
      </c>
      <c r="F67" s="48" t="s">
        <v>75</v>
      </c>
      <c r="G67" s="49" t="s">
        <v>76</v>
      </c>
      <c r="H67" s="50">
        <v>2023</v>
      </c>
      <c r="I67" s="334">
        <v>8</v>
      </c>
      <c r="J67" s="338">
        <v>45608</v>
      </c>
      <c r="K67" s="228"/>
      <c r="L67" s="369">
        <v>4.5900000000000003E-2</v>
      </c>
      <c r="M67" s="369">
        <v>5.6375000000000001E-2</v>
      </c>
      <c r="N67" s="370">
        <v>1.0500000000000001E-2</v>
      </c>
      <c r="O67" s="371">
        <f t="shared" si="32"/>
        <v>0</v>
      </c>
      <c r="P67" s="370">
        <v>1</v>
      </c>
      <c r="Q67" s="370">
        <f t="shared" si="3"/>
        <v>4.5900000000000003E-2</v>
      </c>
      <c r="R67" s="51">
        <v>11184500</v>
      </c>
      <c r="S67" s="33">
        <v>31824500</v>
      </c>
      <c r="T67" s="382">
        <v>2514000</v>
      </c>
      <c r="U67" s="382">
        <f t="shared" ref="U67:U70" si="63">T67-N67*S67</f>
        <v>2179842.75</v>
      </c>
      <c r="V67" s="57" t="s">
        <v>88</v>
      </c>
      <c r="W67" s="22" t="s">
        <v>78</v>
      </c>
      <c r="X67" s="52">
        <v>0.43</v>
      </c>
      <c r="Y67" s="52" t="s">
        <v>79</v>
      </c>
      <c r="Z67" s="52"/>
      <c r="AA67" s="53"/>
      <c r="AB67" s="392">
        <f t="shared" ref="AB67:AB70" si="64">M67*R67</f>
        <v>630526.1875</v>
      </c>
      <c r="AC67" s="54"/>
      <c r="AD67" s="33">
        <f t="shared" ref="AD67:AD70" si="65">R67*X67/1000</f>
        <v>4809.335</v>
      </c>
      <c r="AE67" s="48"/>
    </row>
    <row r="68" spans="1:31" s="55" customFormat="1" ht="15.75" customHeight="1">
      <c r="A68" s="56" t="s">
        <v>86</v>
      </c>
      <c r="B68" s="10" t="str">
        <f>VLOOKUP(A68,[1]Sheet1!$A:$B,2,0)</f>
        <v>MODI</v>
      </c>
      <c r="C68" s="20" t="s">
        <v>89</v>
      </c>
      <c r="D68" s="44">
        <v>310493192000</v>
      </c>
      <c r="E68" s="22" t="s">
        <v>74</v>
      </c>
      <c r="F68" s="48" t="s">
        <v>75</v>
      </c>
      <c r="G68" s="49" t="s">
        <v>76</v>
      </c>
      <c r="H68" s="50">
        <v>2023</v>
      </c>
      <c r="I68" s="334">
        <v>9</v>
      </c>
      <c r="J68" s="338">
        <v>45608</v>
      </c>
      <c r="K68" s="228"/>
      <c r="L68" s="369">
        <v>4.5900000000000003E-2</v>
      </c>
      <c r="M68" s="369">
        <v>5.6375000000000001E-2</v>
      </c>
      <c r="N68" s="370">
        <v>1.0500000000000001E-2</v>
      </c>
      <c r="O68" s="371">
        <f t="shared" si="32"/>
        <v>0</v>
      </c>
      <c r="P68" s="370">
        <v>1</v>
      </c>
      <c r="Q68" s="370">
        <f t="shared" si="3"/>
        <v>4.5900000000000003E-2</v>
      </c>
      <c r="R68" s="51">
        <v>6641150</v>
      </c>
      <c r="S68" s="33">
        <v>38465650</v>
      </c>
      <c r="T68" s="382">
        <v>2514000</v>
      </c>
      <c r="U68" s="382">
        <f t="shared" si="63"/>
        <v>2110110.6749999998</v>
      </c>
      <c r="V68" s="57" t="s">
        <v>88</v>
      </c>
      <c r="W68" s="22" t="s">
        <v>78</v>
      </c>
      <c r="X68" s="52">
        <v>0.43</v>
      </c>
      <c r="Y68" s="52" t="s">
        <v>79</v>
      </c>
      <c r="Z68" s="52"/>
      <c r="AA68" s="53"/>
      <c r="AB68" s="392">
        <f t="shared" si="64"/>
        <v>374394.83124999999</v>
      </c>
      <c r="AC68" s="54"/>
      <c r="AD68" s="33">
        <f t="shared" si="65"/>
        <v>2855.6945000000001</v>
      </c>
      <c r="AE68" s="48"/>
    </row>
    <row r="69" spans="1:31" s="55" customFormat="1" ht="15.75" customHeight="1">
      <c r="A69" s="56" t="s">
        <v>86</v>
      </c>
      <c r="B69" s="10" t="str">
        <f>VLOOKUP(A69,[1]Sheet1!$A:$B,2,0)</f>
        <v>MODI</v>
      </c>
      <c r="C69" s="20" t="s">
        <v>89</v>
      </c>
      <c r="D69" s="44">
        <v>310493192000</v>
      </c>
      <c r="E69" s="22" t="s">
        <v>74</v>
      </c>
      <c r="F69" s="48" t="s">
        <v>75</v>
      </c>
      <c r="G69" s="49" t="s">
        <v>76</v>
      </c>
      <c r="H69" s="50">
        <v>2023</v>
      </c>
      <c r="I69" s="334">
        <v>10</v>
      </c>
      <c r="J69" s="338">
        <v>45608</v>
      </c>
      <c r="K69" s="228"/>
      <c r="L69" s="369">
        <v>4.5900000000000003E-2</v>
      </c>
      <c r="M69" s="369">
        <v>5.6375000000000001E-2</v>
      </c>
      <c r="N69" s="370">
        <v>1.0500000000000001E-2</v>
      </c>
      <c r="O69" s="371">
        <f t="shared" si="32"/>
        <v>0</v>
      </c>
      <c r="P69" s="370">
        <v>1</v>
      </c>
      <c r="Q69" s="370">
        <f t="shared" ref="Q69:Q132" si="66">P69*L69</f>
        <v>4.5900000000000003E-2</v>
      </c>
      <c r="R69" s="51">
        <v>3270000</v>
      </c>
      <c r="S69" s="33">
        <v>41735650</v>
      </c>
      <c r="T69" s="382">
        <v>2514000</v>
      </c>
      <c r="U69" s="382">
        <f t="shared" si="63"/>
        <v>2075775.675</v>
      </c>
      <c r="V69" s="57" t="s">
        <v>88</v>
      </c>
      <c r="W69" s="22" t="s">
        <v>78</v>
      </c>
      <c r="X69" s="52">
        <v>0.43</v>
      </c>
      <c r="Y69" s="52" t="s">
        <v>79</v>
      </c>
      <c r="Z69" s="52"/>
      <c r="AA69" s="53"/>
      <c r="AB69" s="392">
        <f t="shared" si="64"/>
        <v>184346.25</v>
      </c>
      <c r="AC69" s="54"/>
      <c r="AD69" s="33">
        <f t="shared" si="65"/>
        <v>1406.1</v>
      </c>
      <c r="AE69" s="48"/>
    </row>
    <row r="70" spans="1:31" s="55" customFormat="1" ht="15.75" customHeight="1">
      <c r="A70" s="56" t="s">
        <v>86</v>
      </c>
      <c r="B70" s="10" t="str">
        <f>VLOOKUP(A70,[1]Sheet1!$A:$B,2,0)</f>
        <v>MODI</v>
      </c>
      <c r="C70" s="20" t="s">
        <v>89</v>
      </c>
      <c r="D70" s="44">
        <v>310493192000</v>
      </c>
      <c r="E70" s="22" t="s">
        <v>74</v>
      </c>
      <c r="F70" s="48" t="s">
        <v>75</v>
      </c>
      <c r="G70" s="49" t="s">
        <v>76</v>
      </c>
      <c r="H70" s="50">
        <v>2023</v>
      </c>
      <c r="I70" s="334">
        <v>11</v>
      </c>
      <c r="J70" s="338">
        <v>45608</v>
      </c>
      <c r="K70" s="228"/>
      <c r="L70" s="369">
        <v>4.5900000000000003E-2</v>
      </c>
      <c r="M70" s="369">
        <v>5.6375000000000001E-2</v>
      </c>
      <c r="N70" s="370">
        <v>1.0500000000000001E-2</v>
      </c>
      <c r="O70" s="371">
        <f t="shared" si="32"/>
        <v>0</v>
      </c>
      <c r="P70" s="370">
        <v>1</v>
      </c>
      <c r="Q70" s="370">
        <f t="shared" si="66"/>
        <v>4.5900000000000003E-2</v>
      </c>
      <c r="R70" s="51">
        <v>1330705</v>
      </c>
      <c r="S70" s="33">
        <v>43066355</v>
      </c>
      <c r="T70" s="382">
        <v>2514000</v>
      </c>
      <c r="U70" s="382">
        <f t="shared" si="63"/>
        <v>2061803.2725</v>
      </c>
      <c r="V70" s="57" t="s">
        <v>88</v>
      </c>
      <c r="W70" s="22" t="s">
        <v>78</v>
      </c>
      <c r="X70" s="52">
        <v>0.43</v>
      </c>
      <c r="Y70" s="52" t="s">
        <v>79</v>
      </c>
      <c r="Z70" s="52"/>
      <c r="AA70" s="53"/>
      <c r="AB70" s="392">
        <f t="shared" si="64"/>
        <v>75018.494374999995</v>
      </c>
      <c r="AC70" s="54"/>
      <c r="AD70" s="33">
        <f t="shared" si="65"/>
        <v>572.20315000000005</v>
      </c>
      <c r="AE70" s="48"/>
    </row>
    <row r="71" spans="1:31" s="55" customFormat="1" ht="15.75" customHeight="1">
      <c r="A71" s="56" t="s">
        <v>86</v>
      </c>
      <c r="B71" s="10" t="str">
        <f>VLOOKUP(A71,[1]Sheet1!$A:$B,2,0)</f>
        <v>MODI</v>
      </c>
      <c r="C71" s="20" t="s">
        <v>89</v>
      </c>
      <c r="D71" s="44">
        <v>310493192000</v>
      </c>
      <c r="E71" s="22" t="s">
        <v>74</v>
      </c>
      <c r="F71" s="48" t="s">
        <v>75</v>
      </c>
      <c r="G71" s="49" t="s">
        <v>76</v>
      </c>
      <c r="H71" s="50">
        <v>2023</v>
      </c>
      <c r="I71" s="334">
        <v>12</v>
      </c>
      <c r="J71" s="338">
        <v>45608</v>
      </c>
      <c r="K71" s="228"/>
      <c r="L71" s="369">
        <v>4.5900000000000003E-2</v>
      </c>
      <c r="M71" s="369">
        <v>5.6375000000000001E-2</v>
      </c>
      <c r="N71" s="370">
        <v>1.0500000000000001E-2</v>
      </c>
      <c r="O71" s="371">
        <f t="shared" si="32"/>
        <v>0</v>
      </c>
      <c r="P71" s="370">
        <v>1</v>
      </c>
      <c r="Q71" s="370">
        <f t="shared" si="66"/>
        <v>4.5900000000000003E-2</v>
      </c>
      <c r="R71" s="51">
        <v>365736</v>
      </c>
      <c r="S71" s="33">
        <v>43432091</v>
      </c>
      <c r="T71" s="382">
        <v>2514000</v>
      </c>
      <c r="U71" s="382">
        <f t="shared" ref="U71:U72" si="67">T71-N71*S71</f>
        <v>2057963.0444999998</v>
      </c>
      <c r="V71" s="57" t="s">
        <v>88</v>
      </c>
      <c r="W71" s="22" t="s">
        <v>78</v>
      </c>
      <c r="X71" s="52">
        <v>0.43</v>
      </c>
      <c r="Y71" s="52" t="s">
        <v>79</v>
      </c>
      <c r="Z71" s="52"/>
      <c r="AA71" s="53"/>
      <c r="AB71" s="392">
        <f t="shared" ref="AB71:AB72" si="68">M71*R71</f>
        <v>20618.367000000002</v>
      </c>
      <c r="AC71" s="54"/>
      <c r="AD71" s="33">
        <f t="shared" ref="AD71:AD72" si="69">R71*X71/1000</f>
        <v>157.26648</v>
      </c>
      <c r="AE71" s="48"/>
    </row>
    <row r="72" spans="1:31" s="55" customFormat="1" ht="15.75" customHeight="1">
      <c r="A72" s="56" t="s">
        <v>86</v>
      </c>
      <c r="B72" s="10" t="str">
        <f>VLOOKUP(A72,[1]Sheet1!$A:$B,2,0)</f>
        <v>MODI</v>
      </c>
      <c r="C72" s="20" t="s">
        <v>90</v>
      </c>
      <c r="D72" s="44">
        <v>310493193000</v>
      </c>
      <c r="E72" s="22" t="s">
        <v>74</v>
      </c>
      <c r="F72" s="48" t="s">
        <v>75</v>
      </c>
      <c r="G72" s="49" t="s">
        <v>76</v>
      </c>
      <c r="H72" s="50">
        <v>2023</v>
      </c>
      <c r="I72" s="334">
        <v>5</v>
      </c>
      <c r="J72" s="338">
        <v>45608</v>
      </c>
      <c r="K72" s="228"/>
      <c r="L72" s="369">
        <v>6.8099999999999994E-2</v>
      </c>
      <c r="M72" s="369">
        <v>8.0466666666666659E-2</v>
      </c>
      <c r="N72" s="370">
        <v>1.24E-2</v>
      </c>
      <c r="O72" s="371">
        <f t="shared" ref="O72:O135" si="70">K72*N72</f>
        <v>0</v>
      </c>
      <c r="P72" s="370">
        <v>1</v>
      </c>
      <c r="Q72" s="370">
        <f t="shared" si="66"/>
        <v>6.8099999999999994E-2</v>
      </c>
      <c r="R72" s="51">
        <v>3619600</v>
      </c>
      <c r="S72" s="33">
        <v>3619600</v>
      </c>
      <c r="T72" s="382">
        <v>2968000</v>
      </c>
      <c r="U72" s="382">
        <f t="shared" si="67"/>
        <v>2923116.96</v>
      </c>
      <c r="V72" s="57" t="s">
        <v>88</v>
      </c>
      <c r="W72" s="22" t="s">
        <v>78</v>
      </c>
      <c r="X72" s="52">
        <v>0.6</v>
      </c>
      <c r="Y72" s="52" t="s">
        <v>79</v>
      </c>
      <c r="Z72" s="52"/>
      <c r="AA72" s="53"/>
      <c r="AB72" s="392">
        <f t="shared" si="68"/>
        <v>291257.14666666661</v>
      </c>
      <c r="AC72" s="54"/>
      <c r="AD72" s="33">
        <f t="shared" si="69"/>
        <v>2171.7600000000002</v>
      </c>
      <c r="AE72" s="48"/>
    </row>
    <row r="73" spans="1:31" s="55" customFormat="1" ht="15.75" customHeight="1">
      <c r="A73" s="56" t="s">
        <v>86</v>
      </c>
      <c r="B73" s="10" t="str">
        <f>VLOOKUP(A73,[1]Sheet1!$A:$B,2,0)</f>
        <v>MODI</v>
      </c>
      <c r="C73" s="20" t="s">
        <v>90</v>
      </c>
      <c r="D73" s="44">
        <v>310493193000</v>
      </c>
      <c r="E73" s="22" t="s">
        <v>74</v>
      </c>
      <c r="F73" s="48" t="s">
        <v>75</v>
      </c>
      <c r="G73" s="49" t="s">
        <v>76</v>
      </c>
      <c r="H73" s="50">
        <v>2023</v>
      </c>
      <c r="I73" s="334">
        <v>6</v>
      </c>
      <c r="J73" s="338">
        <v>45608</v>
      </c>
      <c r="K73" s="228"/>
      <c r="L73" s="369">
        <v>6.8099999999999994E-2</v>
      </c>
      <c r="M73" s="369">
        <v>8.0466666666666659E-2</v>
      </c>
      <c r="N73" s="370">
        <v>1.24E-2</v>
      </c>
      <c r="O73" s="371">
        <f t="shared" si="70"/>
        <v>0</v>
      </c>
      <c r="P73" s="370">
        <v>1</v>
      </c>
      <c r="Q73" s="370">
        <f t="shared" si="66"/>
        <v>6.8099999999999994E-2</v>
      </c>
      <c r="R73" s="51">
        <v>7401600</v>
      </c>
      <c r="S73" s="33">
        <v>11021200</v>
      </c>
      <c r="T73" s="382">
        <v>2968000</v>
      </c>
      <c r="U73" s="382">
        <f t="shared" ref="U73:U74" si="71">T73-N73*S73</f>
        <v>2831337.12</v>
      </c>
      <c r="V73" s="57" t="s">
        <v>88</v>
      </c>
      <c r="W73" s="22" t="s">
        <v>78</v>
      </c>
      <c r="X73" s="52">
        <v>0.6</v>
      </c>
      <c r="Y73" s="52" t="s">
        <v>79</v>
      </c>
      <c r="Z73" s="52"/>
      <c r="AA73" s="53"/>
      <c r="AB73" s="392">
        <f t="shared" ref="AB73:AB74" si="72">M73*R73</f>
        <v>595582.07999999996</v>
      </c>
      <c r="AC73" s="54"/>
      <c r="AD73" s="33">
        <f t="shared" ref="AD73:AD74" si="73">R73*X73/1000</f>
        <v>4440.96</v>
      </c>
      <c r="AE73" s="48"/>
    </row>
    <row r="74" spans="1:31" s="55" customFormat="1" ht="15.75" customHeight="1">
      <c r="A74" s="56" t="s">
        <v>86</v>
      </c>
      <c r="B74" s="10" t="str">
        <f>VLOOKUP(A74,[1]Sheet1!$A:$B,2,0)</f>
        <v>MODI</v>
      </c>
      <c r="C74" s="20" t="s">
        <v>90</v>
      </c>
      <c r="D74" s="44">
        <v>310493193000</v>
      </c>
      <c r="E74" s="22" t="s">
        <v>74</v>
      </c>
      <c r="F74" s="48" t="s">
        <v>75</v>
      </c>
      <c r="G74" s="49" t="s">
        <v>76</v>
      </c>
      <c r="H74" s="50">
        <v>2023</v>
      </c>
      <c r="I74" s="334">
        <v>7</v>
      </c>
      <c r="J74" s="338">
        <v>45608</v>
      </c>
      <c r="K74" s="228"/>
      <c r="L74" s="369">
        <v>6.8099999999999994E-2</v>
      </c>
      <c r="M74" s="369">
        <v>8.0466666666666659E-2</v>
      </c>
      <c r="N74" s="370">
        <v>1.24E-2</v>
      </c>
      <c r="O74" s="371">
        <f t="shared" si="70"/>
        <v>0</v>
      </c>
      <c r="P74" s="370">
        <v>1</v>
      </c>
      <c r="Q74" s="370">
        <f t="shared" si="66"/>
        <v>6.8099999999999994E-2</v>
      </c>
      <c r="R74" s="51">
        <v>10387200</v>
      </c>
      <c r="S74" s="33">
        <v>21408400</v>
      </c>
      <c r="T74" s="382">
        <v>2968000</v>
      </c>
      <c r="U74" s="382">
        <f t="shared" si="71"/>
        <v>2702535.84</v>
      </c>
      <c r="V74" s="57" t="s">
        <v>88</v>
      </c>
      <c r="W74" s="22" t="s">
        <v>78</v>
      </c>
      <c r="X74" s="52">
        <v>0.6</v>
      </c>
      <c r="Y74" s="52" t="s">
        <v>79</v>
      </c>
      <c r="Z74" s="52"/>
      <c r="AA74" s="53"/>
      <c r="AB74" s="392">
        <f t="shared" si="72"/>
        <v>835823.35999999987</v>
      </c>
      <c r="AC74" s="54"/>
      <c r="AD74" s="33">
        <f t="shared" si="73"/>
        <v>6232.32</v>
      </c>
      <c r="AE74" s="48"/>
    </row>
    <row r="75" spans="1:31" s="55" customFormat="1" ht="15.75" customHeight="1">
      <c r="A75" s="56" t="s">
        <v>86</v>
      </c>
      <c r="B75" s="10" t="str">
        <f>VLOOKUP(A75,[1]Sheet1!$A:$B,2,0)</f>
        <v>MODI</v>
      </c>
      <c r="C75" s="20" t="s">
        <v>90</v>
      </c>
      <c r="D75" s="44">
        <v>310493193000</v>
      </c>
      <c r="E75" s="22" t="s">
        <v>74</v>
      </c>
      <c r="F75" s="48" t="s">
        <v>75</v>
      </c>
      <c r="G75" s="49" t="s">
        <v>76</v>
      </c>
      <c r="H75" s="50">
        <v>2023</v>
      </c>
      <c r="I75" s="334">
        <v>8</v>
      </c>
      <c r="J75" s="338">
        <v>45608</v>
      </c>
      <c r="K75" s="228"/>
      <c r="L75" s="369">
        <v>6.8099999999999994E-2</v>
      </c>
      <c r="M75" s="369">
        <v>8.0466666666666659E-2</v>
      </c>
      <c r="N75" s="370">
        <v>1.24E-2</v>
      </c>
      <c r="O75" s="371">
        <f t="shared" si="70"/>
        <v>0</v>
      </c>
      <c r="P75" s="370">
        <v>1</v>
      </c>
      <c r="Q75" s="370">
        <f t="shared" si="66"/>
        <v>6.8099999999999994E-2</v>
      </c>
      <c r="R75" s="51">
        <v>10821600</v>
      </c>
      <c r="S75" s="33">
        <v>32230000</v>
      </c>
      <c r="T75" s="382">
        <v>2968000</v>
      </c>
      <c r="U75" s="382">
        <f>T75-N75*S75</f>
        <v>2568348</v>
      </c>
      <c r="V75" s="57" t="s">
        <v>88</v>
      </c>
      <c r="W75" s="22" t="s">
        <v>78</v>
      </c>
      <c r="X75" s="52">
        <v>0.6</v>
      </c>
      <c r="Y75" s="52" t="s">
        <v>79</v>
      </c>
      <c r="Z75" s="52"/>
      <c r="AA75" s="53"/>
      <c r="AB75" s="392">
        <f t="shared" ref="AB75:AB78" si="74">M75*R75</f>
        <v>870778.08</v>
      </c>
      <c r="AC75" s="54"/>
      <c r="AD75" s="33">
        <f t="shared" ref="AD75:AD78" si="75">R75*X75/1000</f>
        <v>6492.96</v>
      </c>
      <c r="AE75" s="48"/>
    </row>
    <row r="76" spans="1:31" s="55" customFormat="1" ht="15.75" customHeight="1">
      <c r="A76" s="56" t="s">
        <v>86</v>
      </c>
      <c r="B76" s="10" t="str">
        <f>VLOOKUP(A76,[1]Sheet1!$A:$B,2,0)</f>
        <v>MODI</v>
      </c>
      <c r="C76" s="20" t="s">
        <v>90</v>
      </c>
      <c r="D76" s="44">
        <v>310493193000</v>
      </c>
      <c r="E76" s="22" t="s">
        <v>74</v>
      </c>
      <c r="F76" s="48" t="s">
        <v>75</v>
      </c>
      <c r="G76" s="49" t="s">
        <v>76</v>
      </c>
      <c r="H76" s="50">
        <v>2023</v>
      </c>
      <c r="I76" s="334">
        <v>9</v>
      </c>
      <c r="J76" s="338">
        <v>45608</v>
      </c>
      <c r="K76" s="228"/>
      <c r="L76" s="369">
        <v>6.8099999999999994E-2</v>
      </c>
      <c r="M76" s="369">
        <v>8.0466666666666659E-2</v>
      </c>
      <c r="N76" s="370">
        <v>1.24E-2</v>
      </c>
      <c r="O76" s="371">
        <f t="shared" si="70"/>
        <v>0</v>
      </c>
      <c r="P76" s="370">
        <v>1</v>
      </c>
      <c r="Q76" s="370">
        <f t="shared" si="66"/>
        <v>6.8099999999999994E-2</v>
      </c>
      <c r="R76" s="51">
        <v>6935070</v>
      </c>
      <c r="S76" s="33">
        <v>39165070</v>
      </c>
      <c r="T76" s="382">
        <v>2968000</v>
      </c>
      <c r="U76" s="382">
        <f>T76-N76*S76</f>
        <v>2482353.1320000002</v>
      </c>
      <c r="V76" s="57" t="s">
        <v>88</v>
      </c>
      <c r="W76" s="22" t="s">
        <v>78</v>
      </c>
      <c r="X76" s="52">
        <v>0.6</v>
      </c>
      <c r="Y76" s="52" t="s">
        <v>79</v>
      </c>
      <c r="Z76" s="52"/>
      <c r="AA76" s="53"/>
      <c r="AB76" s="392">
        <f>N76*R76</f>
        <v>85994.868000000002</v>
      </c>
      <c r="AC76" s="54"/>
      <c r="AD76" s="33">
        <f t="shared" si="75"/>
        <v>4161.0420000000004</v>
      </c>
      <c r="AE76" s="48"/>
    </row>
    <row r="77" spans="1:31" s="55" customFormat="1" ht="15.75" customHeight="1">
      <c r="A77" s="56" t="s">
        <v>86</v>
      </c>
      <c r="B77" s="10" t="str">
        <f>VLOOKUP(A77,[1]Sheet1!$A:$B,2,0)</f>
        <v>MODI</v>
      </c>
      <c r="C77" s="20" t="s">
        <v>90</v>
      </c>
      <c r="D77" s="44">
        <v>310493193000</v>
      </c>
      <c r="E77" s="22" t="s">
        <v>74</v>
      </c>
      <c r="F77" s="48" t="s">
        <v>75</v>
      </c>
      <c r="G77" s="49" t="s">
        <v>76</v>
      </c>
      <c r="H77" s="50">
        <v>2023</v>
      </c>
      <c r="I77" s="334">
        <v>10</v>
      </c>
      <c r="J77" s="338">
        <v>45608</v>
      </c>
      <c r="K77" s="228"/>
      <c r="L77" s="369">
        <v>6.8099999999999994E-2</v>
      </c>
      <c r="M77" s="369">
        <v>8.0466666666666659E-2</v>
      </c>
      <c r="N77" s="370">
        <v>1.24E-2</v>
      </c>
      <c r="O77" s="371">
        <f t="shared" si="70"/>
        <v>0</v>
      </c>
      <c r="P77" s="370">
        <v>1</v>
      </c>
      <c r="Q77" s="370">
        <f t="shared" si="66"/>
        <v>6.8099999999999994E-2</v>
      </c>
      <c r="R77" s="51">
        <v>2700000</v>
      </c>
      <c r="S77" s="33">
        <v>41865070</v>
      </c>
      <c r="T77" s="382">
        <v>2968000</v>
      </c>
      <c r="U77" s="382">
        <f t="shared" ref="U77:U78" si="76">T77-N77*S77</f>
        <v>2448873.1320000002</v>
      </c>
      <c r="V77" s="57" t="s">
        <v>88</v>
      </c>
      <c r="W77" s="22" t="s">
        <v>78</v>
      </c>
      <c r="X77" s="52">
        <v>0.6</v>
      </c>
      <c r="Y77" s="52" t="s">
        <v>79</v>
      </c>
      <c r="Z77" s="52"/>
      <c r="AA77" s="53"/>
      <c r="AB77" s="392">
        <f t="shared" si="74"/>
        <v>217259.99999999997</v>
      </c>
      <c r="AC77" s="54"/>
      <c r="AD77" s="33">
        <f t="shared" si="75"/>
        <v>1620</v>
      </c>
      <c r="AE77" s="48"/>
    </row>
    <row r="78" spans="1:31" s="55" customFormat="1" ht="15.75" customHeight="1">
      <c r="A78" s="56" t="s">
        <v>86</v>
      </c>
      <c r="B78" s="10" t="str">
        <f>VLOOKUP(A78,[1]Sheet1!$A:$B,2,0)</f>
        <v>MODI</v>
      </c>
      <c r="C78" s="20" t="s">
        <v>90</v>
      </c>
      <c r="D78" s="44">
        <v>310493193000</v>
      </c>
      <c r="E78" s="22" t="s">
        <v>74</v>
      </c>
      <c r="F78" s="48" t="s">
        <v>75</v>
      </c>
      <c r="G78" s="49" t="s">
        <v>76</v>
      </c>
      <c r="H78" s="50">
        <v>2023</v>
      </c>
      <c r="I78" s="334">
        <v>11</v>
      </c>
      <c r="J78" s="338">
        <v>45608</v>
      </c>
      <c r="K78" s="228"/>
      <c r="L78" s="369">
        <v>6.8099999999999994E-2</v>
      </c>
      <c r="M78" s="369">
        <v>8.0466666666666659E-2</v>
      </c>
      <c r="N78" s="370">
        <v>1.24E-2</v>
      </c>
      <c r="O78" s="371">
        <f t="shared" si="70"/>
        <v>0</v>
      </c>
      <c r="P78" s="370">
        <v>1</v>
      </c>
      <c r="Q78" s="370">
        <f t="shared" si="66"/>
        <v>6.8099999999999994E-2</v>
      </c>
      <c r="R78" s="51">
        <v>1117447</v>
      </c>
      <c r="S78" s="33">
        <v>42982517</v>
      </c>
      <c r="T78" s="382">
        <v>2968000</v>
      </c>
      <c r="U78" s="382">
        <f t="shared" si="76"/>
        <v>2435016.7892</v>
      </c>
      <c r="V78" s="57" t="s">
        <v>88</v>
      </c>
      <c r="W78" s="22" t="s">
        <v>78</v>
      </c>
      <c r="X78" s="52">
        <v>0.6</v>
      </c>
      <c r="Y78" s="52" t="s">
        <v>79</v>
      </c>
      <c r="Z78" s="52"/>
      <c r="AA78" s="53"/>
      <c r="AB78" s="392">
        <f t="shared" si="74"/>
        <v>89917.235266666656</v>
      </c>
      <c r="AC78" s="54"/>
      <c r="AD78" s="33">
        <f t="shared" si="75"/>
        <v>670.46819999999991</v>
      </c>
      <c r="AE78" s="48"/>
    </row>
    <row r="79" spans="1:31" s="55" customFormat="1" ht="15.75" customHeight="1">
      <c r="A79" s="56" t="s">
        <v>86</v>
      </c>
      <c r="B79" s="10" t="str">
        <f>VLOOKUP(A79,[1]Sheet1!$A:$B,2,0)</f>
        <v>MODI</v>
      </c>
      <c r="C79" s="20" t="s">
        <v>90</v>
      </c>
      <c r="D79" s="44">
        <v>310493193000</v>
      </c>
      <c r="E79" s="22" t="s">
        <v>74</v>
      </c>
      <c r="F79" s="48" t="s">
        <v>75</v>
      </c>
      <c r="G79" s="49" t="s">
        <v>76</v>
      </c>
      <c r="H79" s="50">
        <v>2023</v>
      </c>
      <c r="I79" s="334">
        <v>12</v>
      </c>
      <c r="J79" s="338">
        <v>45608</v>
      </c>
      <c r="K79" s="228"/>
      <c r="L79" s="369">
        <v>6.8099999999999994E-2</v>
      </c>
      <c r="M79" s="369">
        <v>8.0466666666666659E-2</v>
      </c>
      <c r="N79" s="370">
        <v>1.24E-2</v>
      </c>
      <c r="O79" s="371">
        <f t="shared" si="70"/>
        <v>0</v>
      </c>
      <c r="P79" s="370">
        <v>1</v>
      </c>
      <c r="Q79" s="370">
        <f t="shared" si="66"/>
        <v>6.8099999999999994E-2</v>
      </c>
      <c r="R79" s="51">
        <v>334253</v>
      </c>
      <c r="S79" s="33">
        <v>43316770</v>
      </c>
      <c r="T79" s="382">
        <v>2968000</v>
      </c>
      <c r="U79" s="382">
        <f t="shared" ref="U79:U80" si="77">T79-N79*S79</f>
        <v>2430872.0520000001</v>
      </c>
      <c r="V79" s="57" t="s">
        <v>88</v>
      </c>
      <c r="W79" s="22" t="s">
        <v>78</v>
      </c>
      <c r="X79" s="52">
        <v>0.6</v>
      </c>
      <c r="Y79" s="52" t="s">
        <v>79</v>
      </c>
      <c r="Z79" s="52"/>
      <c r="AA79" s="53"/>
      <c r="AB79" s="392">
        <f t="shared" ref="AB79:AB80" si="78">M79*R79</f>
        <v>26896.224733333329</v>
      </c>
      <c r="AC79" s="54"/>
      <c r="AD79" s="33">
        <f t="shared" ref="AD79:AD80" si="79">R79*X79/1000</f>
        <v>200.55179999999999</v>
      </c>
      <c r="AE79" s="48"/>
    </row>
    <row r="80" spans="1:31" s="55" customFormat="1" ht="15.75" customHeight="1">
      <c r="A80" s="56" t="s">
        <v>86</v>
      </c>
      <c r="B80" s="10" t="str">
        <f>VLOOKUP(A80,[1]Sheet1!$A:$B,2,0)</f>
        <v>MODI</v>
      </c>
      <c r="C80" s="20" t="s">
        <v>91</v>
      </c>
      <c r="D80" s="44">
        <v>310493194000</v>
      </c>
      <c r="E80" s="22" t="s">
        <v>74</v>
      </c>
      <c r="F80" s="48" t="s">
        <v>75</v>
      </c>
      <c r="G80" s="49" t="s">
        <v>76</v>
      </c>
      <c r="H80" s="50">
        <v>2023</v>
      </c>
      <c r="I80" s="334">
        <v>5</v>
      </c>
      <c r="J80" s="338">
        <v>45608</v>
      </c>
      <c r="K80" s="228"/>
      <c r="L80" s="369">
        <v>7.0999999999999994E-2</v>
      </c>
      <c r="M80" s="369">
        <v>8.5166666666666654E-2</v>
      </c>
      <c r="N80" s="370">
        <v>1.4200000000000001E-2</v>
      </c>
      <c r="O80" s="371">
        <f t="shared" si="70"/>
        <v>0</v>
      </c>
      <c r="P80" s="370">
        <v>1</v>
      </c>
      <c r="Q80" s="370">
        <f t="shared" si="66"/>
        <v>7.0999999999999994E-2</v>
      </c>
      <c r="R80" s="51">
        <v>3516400</v>
      </c>
      <c r="S80" s="33">
        <v>3516400</v>
      </c>
      <c r="T80" s="382">
        <v>3400000</v>
      </c>
      <c r="U80" s="382">
        <f t="shared" si="77"/>
        <v>3350067.12</v>
      </c>
      <c r="V80" s="58" t="s">
        <v>92</v>
      </c>
      <c r="W80" s="22" t="s">
        <v>78</v>
      </c>
      <c r="X80" s="52">
        <v>1</v>
      </c>
      <c r="Y80" s="52" t="s">
        <v>93</v>
      </c>
      <c r="Z80" s="52"/>
      <c r="AA80" s="53"/>
      <c r="AB80" s="392">
        <f t="shared" si="78"/>
        <v>299480.06666666665</v>
      </c>
      <c r="AC80" s="54"/>
      <c r="AD80" s="33">
        <f t="shared" si="79"/>
        <v>3516.4</v>
      </c>
      <c r="AE80" s="48" t="s">
        <v>94</v>
      </c>
    </row>
    <row r="81" spans="1:31" s="55" customFormat="1" ht="15.75" customHeight="1">
      <c r="A81" s="56" t="s">
        <v>86</v>
      </c>
      <c r="B81" s="10" t="str">
        <f>VLOOKUP(A81,[1]Sheet1!$A:$B,2,0)</f>
        <v>MODI</v>
      </c>
      <c r="C81" s="20" t="s">
        <v>91</v>
      </c>
      <c r="D81" s="44">
        <v>310493194000</v>
      </c>
      <c r="E81" s="22" t="s">
        <v>74</v>
      </c>
      <c r="F81" s="48" t="s">
        <v>75</v>
      </c>
      <c r="G81" s="49" t="s">
        <v>76</v>
      </c>
      <c r="H81" s="50">
        <v>2023</v>
      </c>
      <c r="I81" s="334">
        <v>6</v>
      </c>
      <c r="J81" s="338">
        <v>45608</v>
      </c>
      <c r="K81" s="228"/>
      <c r="L81" s="369">
        <v>7.0999999999999994E-2</v>
      </c>
      <c r="M81" s="369">
        <v>8.5166666666666654E-2</v>
      </c>
      <c r="N81" s="370">
        <v>1.4200000000000001E-2</v>
      </c>
      <c r="O81" s="371">
        <f t="shared" si="70"/>
        <v>0</v>
      </c>
      <c r="P81" s="370">
        <v>1</v>
      </c>
      <c r="Q81" s="370">
        <f t="shared" si="66"/>
        <v>7.0999999999999994E-2</v>
      </c>
      <c r="R81" s="51">
        <v>7393200</v>
      </c>
      <c r="S81" s="33">
        <v>10909600</v>
      </c>
      <c r="T81" s="382">
        <v>3400000</v>
      </c>
      <c r="U81" s="382">
        <f t="shared" ref="U81:U82" si="80">T81-N81*S81</f>
        <v>3245083.68</v>
      </c>
      <c r="V81" s="58" t="s">
        <v>92</v>
      </c>
      <c r="W81" s="22" t="s">
        <v>78</v>
      </c>
      <c r="X81" s="52">
        <v>1</v>
      </c>
      <c r="Y81" s="52" t="s">
        <v>93</v>
      </c>
      <c r="Z81" s="52"/>
      <c r="AA81" s="53"/>
      <c r="AB81" s="392">
        <f t="shared" ref="AB81:AB82" si="81">M81*R81</f>
        <v>629654.19999999995</v>
      </c>
      <c r="AC81" s="54"/>
      <c r="AD81" s="33">
        <f t="shared" ref="AD81:AD82" si="82">R81*X81/1000</f>
        <v>7393.2</v>
      </c>
      <c r="AE81" s="48" t="s">
        <v>94</v>
      </c>
    </row>
    <row r="82" spans="1:31" s="55" customFormat="1" ht="15.75" customHeight="1">
      <c r="A82" s="56" t="s">
        <v>86</v>
      </c>
      <c r="B82" s="10" t="str">
        <f>VLOOKUP(A82,[1]Sheet1!$A:$B,2,0)</f>
        <v>MODI</v>
      </c>
      <c r="C82" s="20" t="s">
        <v>91</v>
      </c>
      <c r="D82" s="44">
        <v>310493194000</v>
      </c>
      <c r="E82" s="22" t="s">
        <v>74</v>
      </c>
      <c r="F82" s="48" t="s">
        <v>75</v>
      </c>
      <c r="G82" s="49" t="s">
        <v>76</v>
      </c>
      <c r="H82" s="50">
        <v>2023</v>
      </c>
      <c r="I82" s="334">
        <v>7</v>
      </c>
      <c r="J82" s="338">
        <v>45608</v>
      </c>
      <c r="K82" s="228"/>
      <c r="L82" s="369">
        <v>7.0999999999999994E-2</v>
      </c>
      <c r="M82" s="369">
        <v>8.5166666666666654E-2</v>
      </c>
      <c r="N82" s="370">
        <v>1.4200000000000001E-2</v>
      </c>
      <c r="O82" s="371">
        <f t="shared" si="70"/>
        <v>0</v>
      </c>
      <c r="P82" s="370">
        <v>1</v>
      </c>
      <c r="Q82" s="370">
        <f t="shared" si="66"/>
        <v>7.0999999999999994E-2</v>
      </c>
      <c r="R82" s="51">
        <v>10713600</v>
      </c>
      <c r="S82" s="33">
        <v>21623200</v>
      </c>
      <c r="T82" s="382">
        <v>3400000</v>
      </c>
      <c r="U82" s="382">
        <f t="shared" si="80"/>
        <v>3092950.56</v>
      </c>
      <c r="V82" s="58" t="s">
        <v>92</v>
      </c>
      <c r="W82" s="22" t="s">
        <v>78</v>
      </c>
      <c r="X82" s="52">
        <v>1</v>
      </c>
      <c r="Y82" s="52" t="s">
        <v>93</v>
      </c>
      <c r="Z82" s="52"/>
      <c r="AA82" s="53"/>
      <c r="AB82" s="392">
        <f t="shared" si="81"/>
        <v>912441.59999999986</v>
      </c>
      <c r="AC82" s="54"/>
      <c r="AD82" s="33">
        <f t="shared" si="82"/>
        <v>10713.6</v>
      </c>
      <c r="AE82" s="48" t="s">
        <v>94</v>
      </c>
    </row>
    <row r="83" spans="1:31" s="55" customFormat="1" ht="15.75" customHeight="1">
      <c r="A83" s="56" t="s">
        <v>86</v>
      </c>
      <c r="B83" s="10" t="str">
        <f>VLOOKUP(A83,[1]Sheet1!$A:$B,2,0)</f>
        <v>MODI</v>
      </c>
      <c r="C83" s="20" t="s">
        <v>91</v>
      </c>
      <c r="D83" s="44">
        <v>310493194000</v>
      </c>
      <c r="E83" s="22" t="s">
        <v>74</v>
      </c>
      <c r="F83" s="48" t="s">
        <v>75</v>
      </c>
      <c r="G83" s="49" t="s">
        <v>76</v>
      </c>
      <c r="H83" s="50">
        <v>2023</v>
      </c>
      <c r="I83" s="334">
        <v>8</v>
      </c>
      <c r="J83" s="338">
        <v>45608</v>
      </c>
      <c r="K83" s="228"/>
      <c r="L83" s="369">
        <v>7.0999999999999994E-2</v>
      </c>
      <c r="M83" s="369">
        <v>8.5166666666666654E-2</v>
      </c>
      <c r="N83" s="370">
        <v>1.4200000000000001E-2</v>
      </c>
      <c r="O83" s="371">
        <f t="shared" si="70"/>
        <v>0</v>
      </c>
      <c r="P83" s="370">
        <v>1</v>
      </c>
      <c r="Q83" s="370">
        <f t="shared" si="66"/>
        <v>7.0999999999999994E-2</v>
      </c>
      <c r="R83" s="51">
        <v>12074400</v>
      </c>
      <c r="S83" s="33">
        <v>33697600</v>
      </c>
      <c r="T83" s="382">
        <v>3400000</v>
      </c>
      <c r="U83" s="382">
        <f t="shared" ref="U83:U86" si="83">T83-N83*S83</f>
        <v>2921494.08</v>
      </c>
      <c r="V83" s="58" t="s">
        <v>92</v>
      </c>
      <c r="W83" s="22" t="s">
        <v>78</v>
      </c>
      <c r="X83" s="52">
        <v>1</v>
      </c>
      <c r="Y83" s="52" t="s">
        <v>93</v>
      </c>
      <c r="Z83" s="52"/>
      <c r="AA83" s="53"/>
      <c r="AB83" s="392">
        <f t="shared" ref="AB83:AB86" si="84">M83*R83</f>
        <v>1028336.3999999999</v>
      </c>
      <c r="AC83" s="54"/>
      <c r="AD83" s="33">
        <f t="shared" ref="AD83:AD86" si="85">R83*X83/1000</f>
        <v>12074.4</v>
      </c>
      <c r="AE83" s="48" t="s">
        <v>94</v>
      </c>
    </row>
    <row r="84" spans="1:31" s="55" customFormat="1" ht="15.75" customHeight="1">
      <c r="A84" s="56" t="s">
        <v>86</v>
      </c>
      <c r="B84" s="10" t="str">
        <f>VLOOKUP(A84,[1]Sheet1!$A:$B,2,0)</f>
        <v>MODI</v>
      </c>
      <c r="C84" s="20" t="s">
        <v>91</v>
      </c>
      <c r="D84" s="44">
        <v>310493194000</v>
      </c>
      <c r="E84" s="22" t="s">
        <v>74</v>
      </c>
      <c r="F84" s="48" t="s">
        <v>75</v>
      </c>
      <c r="G84" s="49" t="s">
        <v>76</v>
      </c>
      <c r="H84" s="50">
        <v>2023</v>
      </c>
      <c r="I84" s="334">
        <v>9</v>
      </c>
      <c r="J84" s="338">
        <v>45608</v>
      </c>
      <c r="K84" s="228"/>
      <c r="L84" s="369">
        <v>7.0999999999999994E-2</v>
      </c>
      <c r="M84" s="369">
        <v>8.5166666666666654E-2</v>
      </c>
      <c r="N84" s="370">
        <v>1.4200000000000001E-2</v>
      </c>
      <c r="O84" s="371">
        <f t="shared" si="70"/>
        <v>0</v>
      </c>
      <c r="P84" s="370">
        <v>1</v>
      </c>
      <c r="Q84" s="370">
        <f t="shared" si="66"/>
        <v>7.0999999999999994E-2</v>
      </c>
      <c r="R84" s="51">
        <v>11640784</v>
      </c>
      <c r="S84" s="33">
        <v>45338384</v>
      </c>
      <c r="T84" s="382">
        <v>3400000</v>
      </c>
      <c r="U84" s="382">
        <f t="shared" si="83"/>
        <v>2756194.9471999998</v>
      </c>
      <c r="V84" s="58" t="s">
        <v>92</v>
      </c>
      <c r="W84" s="22" t="s">
        <v>78</v>
      </c>
      <c r="X84" s="52">
        <v>1</v>
      </c>
      <c r="Y84" s="52" t="s">
        <v>93</v>
      </c>
      <c r="Z84" s="52"/>
      <c r="AA84" s="53"/>
      <c r="AB84" s="392">
        <f t="shared" si="84"/>
        <v>991406.77066666656</v>
      </c>
      <c r="AC84" s="54"/>
      <c r="AD84" s="33">
        <f t="shared" si="85"/>
        <v>11640.784</v>
      </c>
      <c r="AE84" s="48" t="s">
        <v>94</v>
      </c>
    </row>
    <row r="85" spans="1:31" s="55" customFormat="1" ht="15.75" customHeight="1">
      <c r="A85" s="56" t="s">
        <v>86</v>
      </c>
      <c r="B85" s="10" t="str">
        <f>VLOOKUP(A85,[1]Sheet1!$A:$B,2,0)</f>
        <v>MODI</v>
      </c>
      <c r="C85" s="20" t="s">
        <v>91</v>
      </c>
      <c r="D85" s="44">
        <v>310493194000</v>
      </c>
      <c r="E85" s="22" t="s">
        <v>74</v>
      </c>
      <c r="F85" s="48" t="s">
        <v>75</v>
      </c>
      <c r="G85" s="49" t="s">
        <v>76</v>
      </c>
      <c r="H85" s="50">
        <v>2023</v>
      </c>
      <c r="I85" s="334">
        <v>10</v>
      </c>
      <c r="J85" s="338">
        <v>45608</v>
      </c>
      <c r="K85" s="228"/>
      <c r="L85" s="369">
        <v>7.0999999999999994E-2</v>
      </c>
      <c r="M85" s="369">
        <v>8.5166666666666654E-2</v>
      </c>
      <c r="N85" s="370">
        <v>1.4200000000000001E-2</v>
      </c>
      <c r="O85" s="371">
        <f t="shared" si="70"/>
        <v>0</v>
      </c>
      <c r="P85" s="370">
        <v>1</v>
      </c>
      <c r="Q85" s="370">
        <f t="shared" si="66"/>
        <v>7.0999999999999994E-2</v>
      </c>
      <c r="R85" s="51">
        <v>7524000</v>
      </c>
      <c r="S85" s="33">
        <v>52862384</v>
      </c>
      <c r="T85" s="382">
        <v>3400000</v>
      </c>
      <c r="U85" s="382">
        <f t="shared" si="83"/>
        <v>2649354.1472</v>
      </c>
      <c r="V85" s="58" t="s">
        <v>92</v>
      </c>
      <c r="W85" s="22" t="s">
        <v>78</v>
      </c>
      <c r="X85" s="52">
        <v>1</v>
      </c>
      <c r="Y85" s="52" t="s">
        <v>93</v>
      </c>
      <c r="Z85" s="52"/>
      <c r="AA85" s="53"/>
      <c r="AB85" s="392">
        <f t="shared" si="84"/>
        <v>640793.99999999988</v>
      </c>
      <c r="AC85" s="54"/>
      <c r="AD85" s="33">
        <f t="shared" si="85"/>
        <v>7524</v>
      </c>
      <c r="AE85" s="48" t="s">
        <v>94</v>
      </c>
    </row>
    <row r="86" spans="1:31" s="55" customFormat="1" ht="15.75" customHeight="1">
      <c r="A86" s="56" t="s">
        <v>86</v>
      </c>
      <c r="B86" s="10" t="str">
        <f>VLOOKUP(A86,[1]Sheet1!$A:$B,2,0)</f>
        <v>MODI</v>
      </c>
      <c r="C86" s="20" t="s">
        <v>91</v>
      </c>
      <c r="D86" s="44">
        <v>310493194000</v>
      </c>
      <c r="E86" s="22" t="s">
        <v>74</v>
      </c>
      <c r="F86" s="48" t="s">
        <v>75</v>
      </c>
      <c r="G86" s="49" t="s">
        <v>76</v>
      </c>
      <c r="H86" s="50">
        <v>2023</v>
      </c>
      <c r="I86" s="334">
        <v>11</v>
      </c>
      <c r="J86" s="338">
        <v>45608</v>
      </c>
      <c r="K86" s="228"/>
      <c r="L86" s="369">
        <v>7.0999999999999994E-2</v>
      </c>
      <c r="M86" s="369">
        <v>8.5166666666666654E-2</v>
      </c>
      <c r="N86" s="370">
        <v>1.4200000000000001E-2</v>
      </c>
      <c r="O86" s="371">
        <f t="shared" si="70"/>
        <v>0</v>
      </c>
      <c r="P86" s="370">
        <v>1</v>
      </c>
      <c r="Q86" s="370">
        <f t="shared" si="66"/>
        <v>7.0999999999999994E-2</v>
      </c>
      <c r="R86" s="51">
        <v>3597384</v>
      </c>
      <c r="S86" s="33">
        <v>56459768</v>
      </c>
      <c r="T86" s="382">
        <v>3400000</v>
      </c>
      <c r="U86" s="382">
        <f t="shared" si="83"/>
        <v>2598271.2944</v>
      </c>
      <c r="V86" s="58" t="s">
        <v>92</v>
      </c>
      <c r="W86" s="22" t="s">
        <v>78</v>
      </c>
      <c r="X86" s="52">
        <v>1</v>
      </c>
      <c r="Y86" s="52" t="s">
        <v>93</v>
      </c>
      <c r="Z86" s="52"/>
      <c r="AA86" s="53"/>
      <c r="AB86" s="392">
        <f t="shared" si="84"/>
        <v>306377.20399999997</v>
      </c>
      <c r="AC86" s="54"/>
      <c r="AD86" s="33">
        <f t="shared" si="85"/>
        <v>3597.384</v>
      </c>
      <c r="AE86" s="48" t="s">
        <v>94</v>
      </c>
    </row>
    <row r="87" spans="1:31" s="55" customFormat="1" ht="15.75" customHeight="1">
      <c r="A87" s="56" t="s">
        <v>86</v>
      </c>
      <c r="B87" s="10" t="str">
        <f>VLOOKUP(A87,[1]Sheet1!$A:$B,2,0)</f>
        <v>MODI</v>
      </c>
      <c r="C87" s="20" t="s">
        <v>91</v>
      </c>
      <c r="D87" s="44">
        <v>310493194000</v>
      </c>
      <c r="E87" s="22" t="s">
        <v>74</v>
      </c>
      <c r="F87" s="48" t="s">
        <v>75</v>
      </c>
      <c r="G87" s="49" t="s">
        <v>76</v>
      </c>
      <c r="H87" s="50">
        <v>2023</v>
      </c>
      <c r="I87" s="334">
        <v>12</v>
      </c>
      <c r="J87" s="338">
        <v>45608</v>
      </c>
      <c r="K87" s="228"/>
      <c r="L87" s="369">
        <v>7.0999999999999994E-2</v>
      </c>
      <c r="M87" s="369">
        <v>8.5166666666666654E-2</v>
      </c>
      <c r="N87" s="370">
        <v>1.4200000000000001E-2</v>
      </c>
      <c r="O87" s="371">
        <f t="shared" si="70"/>
        <v>0</v>
      </c>
      <c r="P87" s="370">
        <v>1</v>
      </c>
      <c r="Q87" s="370">
        <f t="shared" si="66"/>
        <v>7.0999999999999994E-2</v>
      </c>
      <c r="R87" s="51">
        <v>588032</v>
      </c>
      <c r="S87" s="33">
        <v>57047800</v>
      </c>
      <c r="T87" s="382">
        <v>3400000</v>
      </c>
      <c r="U87" s="382">
        <f t="shared" ref="U87:U88" si="86">T87-N87*S87</f>
        <v>2589921.2400000002</v>
      </c>
      <c r="V87" s="58" t="s">
        <v>92</v>
      </c>
      <c r="W87" s="22" t="s">
        <v>78</v>
      </c>
      <c r="X87" s="52">
        <v>1</v>
      </c>
      <c r="Y87" s="52" t="s">
        <v>93</v>
      </c>
      <c r="Z87" s="52"/>
      <c r="AA87" s="53"/>
      <c r="AB87" s="392">
        <f t="shared" ref="AB87:AB88" si="87">M87*R87</f>
        <v>50080.725333333328</v>
      </c>
      <c r="AC87" s="54"/>
      <c r="AD87" s="33">
        <f t="shared" ref="AD87:AD88" si="88">R87*X87/1000</f>
        <v>588.03200000000004</v>
      </c>
      <c r="AE87" s="48" t="s">
        <v>94</v>
      </c>
    </row>
    <row r="88" spans="1:31" s="55" customFormat="1" ht="15.75" customHeight="1">
      <c r="A88" s="56" t="s">
        <v>86</v>
      </c>
      <c r="B88" s="10" t="str">
        <f>VLOOKUP(A88,[1]Sheet1!$A:$B,2,0)</f>
        <v>MODI</v>
      </c>
      <c r="C88" s="20" t="s">
        <v>95</v>
      </c>
      <c r="D88" s="262">
        <v>310493196000</v>
      </c>
      <c r="E88" s="22" t="s">
        <v>74</v>
      </c>
      <c r="F88" s="48" t="s">
        <v>75</v>
      </c>
      <c r="G88" s="49" t="s">
        <v>76</v>
      </c>
      <c r="H88" s="50">
        <v>2024</v>
      </c>
      <c r="I88" s="334">
        <v>1</v>
      </c>
      <c r="J88" s="338">
        <v>45608</v>
      </c>
      <c r="K88" s="228"/>
      <c r="L88" s="399">
        <v>4.1200000000000001E-2</v>
      </c>
      <c r="M88" s="399">
        <v>5.2658333333333335E-2</v>
      </c>
      <c r="N88" s="404">
        <v>1.15E-2</v>
      </c>
      <c r="O88" s="371">
        <f t="shared" si="70"/>
        <v>0</v>
      </c>
      <c r="P88" s="370">
        <v>1</v>
      </c>
      <c r="Q88" s="370">
        <f t="shared" si="66"/>
        <v>4.1200000000000001E-2</v>
      </c>
      <c r="R88" s="51">
        <v>3715000</v>
      </c>
      <c r="S88" s="33">
        <v>3715000</v>
      </c>
      <c r="T88" s="382">
        <v>1650000</v>
      </c>
      <c r="U88" s="382">
        <f t="shared" si="86"/>
        <v>1607277.5</v>
      </c>
      <c r="V88" s="58" t="s">
        <v>92</v>
      </c>
      <c r="W88" s="22" t="s">
        <v>78</v>
      </c>
      <c r="X88" s="52">
        <v>0.47000000000000003</v>
      </c>
      <c r="Y88" s="52" t="s">
        <v>93</v>
      </c>
      <c r="Z88" s="52"/>
      <c r="AA88" s="53"/>
      <c r="AB88" s="392">
        <f t="shared" si="87"/>
        <v>195625.70833333334</v>
      </c>
      <c r="AC88" s="54"/>
      <c r="AD88" s="33">
        <f t="shared" si="88"/>
        <v>1746.05</v>
      </c>
      <c r="AE88" s="48"/>
    </row>
    <row r="89" spans="1:31" s="55" customFormat="1" ht="15.75" customHeight="1">
      <c r="A89" s="56" t="s">
        <v>86</v>
      </c>
      <c r="B89" s="10" t="str">
        <f>VLOOKUP(A89,[1]Sheet1!$A:$B,2,0)</f>
        <v>MODI</v>
      </c>
      <c r="C89" s="20" t="s">
        <v>95</v>
      </c>
      <c r="D89" s="262">
        <v>310493196000</v>
      </c>
      <c r="E89" s="22" t="s">
        <v>74</v>
      </c>
      <c r="F89" s="48" t="s">
        <v>75</v>
      </c>
      <c r="G89" s="49" t="s">
        <v>76</v>
      </c>
      <c r="H89" s="50">
        <v>2024</v>
      </c>
      <c r="I89" s="334">
        <v>1</v>
      </c>
      <c r="J89" s="338">
        <v>45608</v>
      </c>
      <c r="K89" s="228"/>
      <c r="L89" s="399">
        <v>4.1200000000000001E-2</v>
      </c>
      <c r="M89" s="399">
        <v>5.2658333333333335E-2</v>
      </c>
      <c r="N89" s="404">
        <v>1.15E-2</v>
      </c>
      <c r="O89" s="371">
        <f t="shared" si="70"/>
        <v>0</v>
      </c>
      <c r="P89" s="370">
        <v>1</v>
      </c>
      <c r="Q89" s="370">
        <f t="shared" si="66"/>
        <v>4.1200000000000001E-2</v>
      </c>
      <c r="R89" s="51">
        <v>7790000</v>
      </c>
      <c r="S89" s="33">
        <v>11505000</v>
      </c>
      <c r="T89" s="382">
        <v>1650000</v>
      </c>
      <c r="U89" s="382">
        <f t="shared" ref="U89:U90" si="89">T89-N89*S89</f>
        <v>1517692.5</v>
      </c>
      <c r="V89" s="58" t="s">
        <v>92</v>
      </c>
      <c r="W89" s="22" t="s">
        <v>78</v>
      </c>
      <c r="X89" s="52">
        <v>0.47000000000000003</v>
      </c>
      <c r="Y89" s="52" t="s">
        <v>93</v>
      </c>
      <c r="Z89" s="52"/>
      <c r="AA89" s="53"/>
      <c r="AB89" s="392">
        <f t="shared" ref="AB89:AB90" si="90">M89*R89</f>
        <v>410208.41666666669</v>
      </c>
      <c r="AC89" s="54"/>
      <c r="AD89" s="33">
        <f t="shared" ref="AD89:AD90" si="91">R89*X89/1000</f>
        <v>3661.3</v>
      </c>
      <c r="AE89" s="48"/>
    </row>
    <row r="90" spans="1:31" s="55" customFormat="1" ht="15.75" customHeight="1">
      <c r="A90" s="56" t="s">
        <v>86</v>
      </c>
      <c r="B90" s="10" t="str">
        <f>VLOOKUP(A90,[1]Sheet1!$A:$B,2,0)</f>
        <v>MODI</v>
      </c>
      <c r="C90" s="20" t="s">
        <v>95</v>
      </c>
      <c r="D90" s="262">
        <v>310493196000</v>
      </c>
      <c r="E90" s="22" t="s">
        <v>74</v>
      </c>
      <c r="F90" s="48" t="s">
        <v>75</v>
      </c>
      <c r="G90" s="49" t="s">
        <v>76</v>
      </c>
      <c r="H90" s="50">
        <v>2024</v>
      </c>
      <c r="I90" s="334">
        <v>1</v>
      </c>
      <c r="J90" s="338">
        <v>45608</v>
      </c>
      <c r="K90" s="228"/>
      <c r="L90" s="399">
        <v>4.1200000000000001E-2</v>
      </c>
      <c r="M90" s="399">
        <v>5.2658333333333335E-2</v>
      </c>
      <c r="N90" s="404">
        <v>1.15E-2</v>
      </c>
      <c r="O90" s="371">
        <f t="shared" si="70"/>
        <v>0</v>
      </c>
      <c r="P90" s="370">
        <v>1</v>
      </c>
      <c r="Q90" s="370">
        <f t="shared" si="66"/>
        <v>4.1200000000000001E-2</v>
      </c>
      <c r="R90" s="51">
        <v>8965000</v>
      </c>
      <c r="S90" s="33">
        <v>20470000</v>
      </c>
      <c r="T90" s="382">
        <v>1650000</v>
      </c>
      <c r="U90" s="382">
        <f t="shared" si="89"/>
        <v>1414595</v>
      </c>
      <c r="V90" s="58" t="s">
        <v>92</v>
      </c>
      <c r="W90" s="22" t="s">
        <v>78</v>
      </c>
      <c r="X90" s="52">
        <v>0.47000000000000003</v>
      </c>
      <c r="Y90" s="52" t="s">
        <v>93</v>
      </c>
      <c r="Z90" s="52"/>
      <c r="AA90" s="53"/>
      <c r="AB90" s="392">
        <f t="shared" si="90"/>
        <v>472081.95833333337</v>
      </c>
      <c r="AC90" s="54"/>
      <c r="AD90" s="33">
        <f t="shared" si="91"/>
        <v>4213.55</v>
      </c>
      <c r="AE90" s="48"/>
    </row>
    <row r="91" spans="1:31" s="55" customFormat="1" ht="15.75" customHeight="1">
      <c r="A91" s="56" t="s">
        <v>86</v>
      </c>
      <c r="B91" s="10" t="str">
        <f>VLOOKUP(A91,[1]Sheet1!$A:$B,2,0)</f>
        <v>MODI</v>
      </c>
      <c r="C91" s="20" t="s">
        <v>95</v>
      </c>
      <c r="D91" s="262">
        <v>310493196000</v>
      </c>
      <c r="E91" s="22" t="s">
        <v>74</v>
      </c>
      <c r="F91" s="48" t="s">
        <v>75</v>
      </c>
      <c r="G91" s="49" t="s">
        <v>76</v>
      </c>
      <c r="H91" s="50">
        <v>2024</v>
      </c>
      <c r="I91" s="334">
        <v>1</v>
      </c>
      <c r="J91" s="338">
        <v>45608</v>
      </c>
      <c r="K91" s="228"/>
      <c r="L91" s="399">
        <v>4.1200000000000001E-2</v>
      </c>
      <c r="M91" s="399">
        <v>5.2658333333333335E-2</v>
      </c>
      <c r="N91" s="404">
        <v>1.15E-2</v>
      </c>
      <c r="O91" s="371">
        <f t="shared" si="70"/>
        <v>0</v>
      </c>
      <c r="P91" s="370">
        <v>1</v>
      </c>
      <c r="Q91" s="370">
        <f t="shared" si="66"/>
        <v>4.1200000000000001E-2</v>
      </c>
      <c r="R91" s="51">
        <v>3270000</v>
      </c>
      <c r="S91" s="33">
        <v>23740000</v>
      </c>
      <c r="T91" s="382">
        <v>1650000</v>
      </c>
      <c r="U91" s="382">
        <f t="shared" ref="U91:U94" si="92">T91-N91*S91</f>
        <v>1376990</v>
      </c>
      <c r="V91" s="58" t="s">
        <v>92</v>
      </c>
      <c r="W91" s="22" t="s">
        <v>78</v>
      </c>
      <c r="X91" s="52">
        <v>0.47000000000000003</v>
      </c>
      <c r="Y91" s="52" t="s">
        <v>93</v>
      </c>
      <c r="Z91" s="52"/>
      <c r="AA91" s="53"/>
      <c r="AB91" s="392">
        <f t="shared" ref="AB91:AB94" si="93">M91*R91</f>
        <v>172192.75</v>
      </c>
      <c r="AC91" s="54"/>
      <c r="AD91" s="33">
        <f t="shared" ref="AD91:AD94" si="94">R91*X91/1000</f>
        <v>1536.9</v>
      </c>
      <c r="AE91" s="48"/>
    </row>
    <row r="92" spans="1:31" s="55" customFormat="1" ht="15.75" customHeight="1">
      <c r="A92" s="56" t="s">
        <v>86</v>
      </c>
      <c r="B92" s="10" t="str">
        <f>VLOOKUP(A92,[1]Sheet1!$A:$B,2,0)</f>
        <v>MODI</v>
      </c>
      <c r="C92" s="20" t="s">
        <v>95</v>
      </c>
      <c r="D92" s="262">
        <v>310493196000</v>
      </c>
      <c r="E92" s="22" t="s">
        <v>74</v>
      </c>
      <c r="F92" s="48" t="s">
        <v>75</v>
      </c>
      <c r="G92" s="49" t="s">
        <v>76</v>
      </c>
      <c r="H92" s="50">
        <v>2024</v>
      </c>
      <c r="I92" s="334">
        <v>1</v>
      </c>
      <c r="J92" s="338">
        <v>45608</v>
      </c>
      <c r="K92" s="228"/>
      <c r="L92" s="399">
        <v>4.1200000000000001E-2</v>
      </c>
      <c r="M92" s="399">
        <v>5.2658333333333335E-2</v>
      </c>
      <c r="N92" s="404">
        <v>1.15E-2</v>
      </c>
      <c r="O92" s="371">
        <f t="shared" si="70"/>
        <v>0</v>
      </c>
      <c r="P92" s="370">
        <v>1</v>
      </c>
      <c r="Q92" s="370">
        <f t="shared" si="66"/>
        <v>4.1200000000000001E-2</v>
      </c>
      <c r="R92" s="51">
        <v>2224500</v>
      </c>
      <c r="S92" s="33">
        <v>25964500</v>
      </c>
      <c r="T92" s="382">
        <v>1650000</v>
      </c>
      <c r="U92" s="382">
        <f t="shared" si="92"/>
        <v>1351408.25</v>
      </c>
      <c r="V92" s="58" t="s">
        <v>92</v>
      </c>
      <c r="W92" s="22" t="s">
        <v>78</v>
      </c>
      <c r="X92" s="52">
        <v>0.47000000000000003</v>
      </c>
      <c r="Y92" s="52" t="s">
        <v>93</v>
      </c>
      <c r="Z92" s="52"/>
      <c r="AA92" s="53"/>
      <c r="AB92" s="392">
        <f t="shared" si="93"/>
        <v>117138.46250000001</v>
      </c>
      <c r="AC92" s="54"/>
      <c r="AD92" s="33">
        <f t="shared" si="94"/>
        <v>1045.5150000000001</v>
      </c>
      <c r="AE92" s="48"/>
    </row>
    <row r="93" spans="1:31" s="55" customFormat="1" ht="15.75" customHeight="1">
      <c r="A93" s="56" t="s">
        <v>86</v>
      </c>
      <c r="B93" s="10" t="str">
        <f>VLOOKUP(A93,[1]Sheet1!$A:$B,2,0)</f>
        <v>MODI</v>
      </c>
      <c r="C93" s="20" t="s">
        <v>95</v>
      </c>
      <c r="D93" s="262">
        <v>310493196000</v>
      </c>
      <c r="E93" s="22" t="s">
        <v>74</v>
      </c>
      <c r="F93" s="48" t="s">
        <v>75</v>
      </c>
      <c r="G93" s="49" t="s">
        <v>76</v>
      </c>
      <c r="H93" s="50">
        <v>2024</v>
      </c>
      <c r="I93" s="334">
        <v>1</v>
      </c>
      <c r="J93" s="338">
        <v>45608</v>
      </c>
      <c r="K93" s="228"/>
      <c r="L93" s="399">
        <v>4.1200000000000001E-2</v>
      </c>
      <c r="M93" s="399">
        <v>5.2658333333333335E-2</v>
      </c>
      <c r="N93" s="404">
        <v>1.15E-2</v>
      </c>
      <c r="O93" s="371">
        <f t="shared" si="70"/>
        <v>0</v>
      </c>
      <c r="P93" s="370">
        <v>1</v>
      </c>
      <c r="Q93" s="370">
        <f t="shared" si="66"/>
        <v>4.1200000000000001E-2</v>
      </c>
      <c r="R93" s="51">
        <v>1255406</v>
      </c>
      <c r="S93" s="33">
        <v>27219906</v>
      </c>
      <c r="T93" s="382">
        <v>1650000</v>
      </c>
      <c r="U93" s="382">
        <f t="shared" si="92"/>
        <v>1336971.081</v>
      </c>
      <c r="V93" s="58" t="s">
        <v>92</v>
      </c>
      <c r="W93" s="22" t="s">
        <v>78</v>
      </c>
      <c r="X93" s="52">
        <v>0.47000000000000003</v>
      </c>
      <c r="Y93" s="52" t="s">
        <v>93</v>
      </c>
      <c r="Z93" s="52"/>
      <c r="AA93" s="53"/>
      <c r="AB93" s="392">
        <f t="shared" si="93"/>
        <v>66107.587616666671</v>
      </c>
      <c r="AC93" s="54"/>
      <c r="AD93" s="33">
        <f t="shared" si="94"/>
        <v>590.04082000000005</v>
      </c>
      <c r="AE93" s="48"/>
    </row>
    <row r="94" spans="1:31" s="55" customFormat="1" ht="15.75" customHeight="1">
      <c r="A94" s="56" t="s">
        <v>86</v>
      </c>
      <c r="B94" s="10" t="str">
        <f>VLOOKUP(A94,[1]Sheet1!$A:$B,2,0)</f>
        <v>MODI</v>
      </c>
      <c r="C94" s="20" t="s">
        <v>95</v>
      </c>
      <c r="D94" s="262">
        <v>310493196000</v>
      </c>
      <c r="E94" s="22" t="s">
        <v>74</v>
      </c>
      <c r="F94" s="48" t="s">
        <v>75</v>
      </c>
      <c r="G94" s="49" t="s">
        <v>76</v>
      </c>
      <c r="H94" s="50">
        <v>2024</v>
      </c>
      <c r="I94" s="334">
        <v>1</v>
      </c>
      <c r="J94" s="338">
        <v>45608</v>
      </c>
      <c r="K94" s="228"/>
      <c r="L94" s="399">
        <v>4.1200000000000001E-2</v>
      </c>
      <c r="M94" s="399">
        <v>5.2658333333333335E-2</v>
      </c>
      <c r="N94" s="404">
        <v>1.15E-2</v>
      </c>
      <c r="O94" s="371">
        <f t="shared" si="70"/>
        <v>0</v>
      </c>
      <c r="P94" s="370">
        <v>1</v>
      </c>
      <c r="Q94" s="370">
        <f t="shared" si="66"/>
        <v>4.1200000000000001E-2</v>
      </c>
      <c r="R94" s="51">
        <v>1255980</v>
      </c>
      <c r="S94" s="33">
        <v>28475886</v>
      </c>
      <c r="T94" s="382">
        <v>1650000</v>
      </c>
      <c r="U94" s="382">
        <f t="shared" si="92"/>
        <v>1322527.311</v>
      </c>
      <c r="V94" s="58" t="s">
        <v>92</v>
      </c>
      <c r="W94" s="22" t="s">
        <v>78</v>
      </c>
      <c r="X94" s="52">
        <v>0.47000000000000003</v>
      </c>
      <c r="Y94" s="52" t="s">
        <v>93</v>
      </c>
      <c r="Z94" s="52"/>
      <c r="AA94" s="53"/>
      <c r="AB94" s="392">
        <f t="shared" si="93"/>
        <v>66137.813500000004</v>
      </c>
      <c r="AC94" s="54"/>
      <c r="AD94" s="33">
        <f t="shared" si="94"/>
        <v>590.31060000000014</v>
      </c>
      <c r="AE94" s="48"/>
    </row>
    <row r="95" spans="1:31" s="55" customFormat="1" ht="15.75" customHeight="1">
      <c r="A95" s="56" t="s">
        <v>86</v>
      </c>
      <c r="B95" s="10" t="str">
        <f>VLOOKUP(A95,[1]Sheet1!$A:$B,2,0)</f>
        <v>MODI</v>
      </c>
      <c r="C95" s="20" t="s">
        <v>95</v>
      </c>
      <c r="D95" s="262">
        <v>310493196000</v>
      </c>
      <c r="E95" s="22" t="s">
        <v>74</v>
      </c>
      <c r="F95" s="48" t="s">
        <v>75</v>
      </c>
      <c r="G95" s="49" t="s">
        <v>76</v>
      </c>
      <c r="H95" s="50">
        <v>2024</v>
      </c>
      <c r="I95" s="334">
        <v>1</v>
      </c>
      <c r="J95" s="338">
        <v>45608</v>
      </c>
      <c r="K95" s="228"/>
      <c r="L95" s="399">
        <v>4.1200000000000001E-2</v>
      </c>
      <c r="M95" s="399">
        <v>5.2658333333333335E-2</v>
      </c>
      <c r="N95" s="404">
        <v>1.15E-2</v>
      </c>
      <c r="O95" s="371">
        <f t="shared" si="70"/>
        <v>0</v>
      </c>
      <c r="P95" s="370">
        <v>1</v>
      </c>
      <c r="Q95" s="370">
        <f t="shared" si="66"/>
        <v>4.1200000000000001E-2</v>
      </c>
      <c r="R95" s="51">
        <v>375304</v>
      </c>
      <c r="S95" s="33">
        <v>28851190</v>
      </c>
      <c r="T95" s="382">
        <v>1650000</v>
      </c>
      <c r="U95" s="382">
        <f t="shared" ref="U95" si="95">T95-N95*S95</f>
        <v>1318211.3149999999</v>
      </c>
      <c r="V95" s="58" t="s">
        <v>92</v>
      </c>
      <c r="W95" s="22" t="s">
        <v>78</v>
      </c>
      <c r="X95" s="52">
        <v>0.47000000000000003</v>
      </c>
      <c r="Y95" s="52" t="s">
        <v>93</v>
      </c>
      <c r="Z95" s="52"/>
      <c r="AA95" s="53"/>
      <c r="AB95" s="392">
        <f t="shared" ref="AB95" si="96">M95*R95</f>
        <v>19762.883133333333</v>
      </c>
      <c r="AC95" s="54"/>
      <c r="AD95" s="33">
        <f t="shared" ref="AD95" si="97">R95*X95/1000</f>
        <v>176.39287999999999</v>
      </c>
      <c r="AE95" s="48"/>
    </row>
    <row r="96" spans="1:31" s="55" customFormat="1" ht="15.75" customHeight="1">
      <c r="A96" s="56" t="s">
        <v>86</v>
      </c>
      <c r="B96" s="10" t="str">
        <f>VLOOKUP(A96,[1]Sheet1!$A:$B,2,0)</f>
        <v>MODI</v>
      </c>
      <c r="C96" s="20" t="s">
        <v>87</v>
      </c>
      <c r="D96" s="44">
        <v>310493191000</v>
      </c>
      <c r="E96" s="22" t="s">
        <v>74</v>
      </c>
      <c r="F96" s="48" t="s">
        <v>75</v>
      </c>
      <c r="G96" s="49" t="s">
        <v>76</v>
      </c>
      <c r="H96" s="50">
        <v>2024</v>
      </c>
      <c r="I96" s="334">
        <v>1</v>
      </c>
      <c r="J96" s="338">
        <v>45608</v>
      </c>
      <c r="K96" s="228"/>
      <c r="L96" s="399">
        <v>0.28620000000000001</v>
      </c>
      <c r="M96" s="399">
        <v>0.31727334999999995</v>
      </c>
      <c r="N96" s="404">
        <v>3.1099999999999999E-2</v>
      </c>
      <c r="O96" s="371">
        <f t="shared" si="70"/>
        <v>0</v>
      </c>
      <c r="P96" s="370">
        <v>1</v>
      </c>
      <c r="Q96" s="370">
        <f t="shared" si="66"/>
        <v>0.28620000000000001</v>
      </c>
      <c r="R96" s="51">
        <v>1359969</v>
      </c>
      <c r="S96" s="33">
        <v>43124696</v>
      </c>
      <c r="T96" s="382">
        <v>5970000</v>
      </c>
      <c r="U96" s="382">
        <f t="shared" si="46"/>
        <v>4628821.9544000002</v>
      </c>
      <c r="V96" s="57" t="s">
        <v>88</v>
      </c>
      <c r="W96" s="22" t="s">
        <v>78</v>
      </c>
      <c r="X96" s="52">
        <v>4.03</v>
      </c>
      <c r="Y96" s="52" t="s">
        <v>79</v>
      </c>
      <c r="Z96" s="52"/>
      <c r="AA96" s="53"/>
      <c r="AB96" s="392">
        <f t="shared" si="47"/>
        <v>431481.92052614992</v>
      </c>
      <c r="AC96" s="54"/>
      <c r="AD96" s="33">
        <f t="shared" si="45"/>
        <v>5480.6750700000002</v>
      </c>
      <c r="AE96" s="48"/>
    </row>
    <row r="97" spans="1:31" s="55" customFormat="1" ht="15.75" customHeight="1">
      <c r="A97" s="56" t="s">
        <v>86</v>
      </c>
      <c r="B97" s="10" t="str">
        <f>VLOOKUP(A97,[1]Sheet1!$A:$B,2,0)</f>
        <v>MODI</v>
      </c>
      <c r="C97" s="20" t="s">
        <v>89</v>
      </c>
      <c r="D97" s="44">
        <v>310493192000</v>
      </c>
      <c r="E97" s="22" t="s">
        <v>74</v>
      </c>
      <c r="F97" s="48" t="s">
        <v>75</v>
      </c>
      <c r="G97" s="49" t="s">
        <v>76</v>
      </c>
      <c r="H97" s="50">
        <v>2024</v>
      </c>
      <c r="I97" s="334">
        <v>1</v>
      </c>
      <c r="J97" s="338">
        <v>45608</v>
      </c>
      <c r="K97" s="228"/>
      <c r="L97" s="399">
        <v>4.5900000000000003E-2</v>
      </c>
      <c r="M97" s="399">
        <v>5.6375000000000001E-2</v>
      </c>
      <c r="N97" s="404">
        <v>1.0500000000000001E-2</v>
      </c>
      <c r="O97" s="371">
        <f t="shared" si="70"/>
        <v>0</v>
      </c>
      <c r="P97" s="370">
        <v>1</v>
      </c>
      <c r="Q97" s="370">
        <f t="shared" si="66"/>
        <v>4.5900000000000003E-2</v>
      </c>
      <c r="R97" s="51">
        <v>860582</v>
      </c>
      <c r="S97" s="33">
        <v>44292673</v>
      </c>
      <c r="T97" s="382">
        <v>2514000</v>
      </c>
      <c r="U97" s="382">
        <f t="shared" si="46"/>
        <v>2048926.9335</v>
      </c>
      <c r="V97" s="57" t="s">
        <v>88</v>
      </c>
      <c r="W97" s="22" t="s">
        <v>78</v>
      </c>
      <c r="X97" s="52">
        <v>0.43</v>
      </c>
      <c r="Y97" s="52" t="s">
        <v>79</v>
      </c>
      <c r="Z97" s="52"/>
      <c r="AA97" s="53"/>
      <c r="AB97" s="392">
        <f t="shared" si="47"/>
        <v>48515.310250000002</v>
      </c>
      <c r="AC97" s="54"/>
      <c r="AD97" s="33">
        <f t="shared" si="45"/>
        <v>370.05026000000004</v>
      </c>
      <c r="AE97" s="48"/>
    </row>
    <row r="98" spans="1:31" s="55" customFormat="1" ht="15.75" customHeight="1">
      <c r="A98" s="56" t="s">
        <v>86</v>
      </c>
      <c r="B98" s="10" t="str">
        <f>VLOOKUP(A98,[1]Sheet1!$A:$B,2,0)</f>
        <v>MODI</v>
      </c>
      <c r="C98" s="20" t="s">
        <v>90</v>
      </c>
      <c r="D98" s="44">
        <v>310493193000</v>
      </c>
      <c r="E98" s="22" t="s">
        <v>74</v>
      </c>
      <c r="F98" s="48" t="s">
        <v>75</v>
      </c>
      <c r="G98" s="49" t="s">
        <v>76</v>
      </c>
      <c r="H98" s="50">
        <v>2024</v>
      </c>
      <c r="I98" s="334">
        <v>1</v>
      </c>
      <c r="J98" s="338">
        <v>45608</v>
      </c>
      <c r="K98" s="228"/>
      <c r="L98" s="399">
        <v>6.8099999999999994E-2</v>
      </c>
      <c r="M98" s="399">
        <v>8.0466666666666659E-2</v>
      </c>
      <c r="N98" s="404">
        <v>1.24E-2</v>
      </c>
      <c r="O98" s="371">
        <f t="shared" si="70"/>
        <v>0</v>
      </c>
      <c r="P98" s="370">
        <v>1</v>
      </c>
      <c r="Q98" s="370">
        <f t="shared" si="66"/>
        <v>6.8099999999999994E-2</v>
      </c>
      <c r="R98" s="51">
        <v>939243</v>
      </c>
      <c r="S98" s="33">
        <v>44256013</v>
      </c>
      <c r="T98" s="382">
        <v>2968000</v>
      </c>
      <c r="U98" s="382">
        <f t="shared" si="46"/>
        <v>2419225.4388000001</v>
      </c>
      <c r="V98" s="57" t="s">
        <v>88</v>
      </c>
      <c r="W98" s="22" t="s">
        <v>78</v>
      </c>
      <c r="X98" s="52">
        <v>0.6</v>
      </c>
      <c r="Y98" s="52" t="s">
        <v>79</v>
      </c>
      <c r="Z98" s="52"/>
      <c r="AA98" s="53"/>
      <c r="AB98" s="392">
        <f t="shared" si="47"/>
        <v>75577.753399999987</v>
      </c>
      <c r="AC98" s="54"/>
      <c r="AD98" s="33">
        <f t="shared" si="45"/>
        <v>563.54579999999999</v>
      </c>
      <c r="AE98" s="48"/>
    </row>
    <row r="99" spans="1:31" s="55" customFormat="1" ht="15.75" customHeight="1">
      <c r="A99" s="56" t="s">
        <v>86</v>
      </c>
      <c r="B99" s="10" t="str">
        <f>VLOOKUP(A99,[1]Sheet1!$A:$B,2,0)</f>
        <v>MODI</v>
      </c>
      <c r="C99" s="20" t="s">
        <v>91</v>
      </c>
      <c r="D99" s="44">
        <v>310493194000</v>
      </c>
      <c r="E99" s="22" t="s">
        <v>74</v>
      </c>
      <c r="F99" s="48" t="s">
        <v>75</v>
      </c>
      <c r="G99" s="49" t="s">
        <v>76</v>
      </c>
      <c r="H99" s="50">
        <v>2024</v>
      </c>
      <c r="I99" s="334">
        <v>1</v>
      </c>
      <c r="J99" s="338">
        <v>45608</v>
      </c>
      <c r="K99" s="228"/>
      <c r="L99" s="399">
        <v>7.0999999999999994E-2</v>
      </c>
      <c r="M99" s="399">
        <v>8.5166666666666654E-2</v>
      </c>
      <c r="N99" s="404">
        <v>1.4200000000000001E-2</v>
      </c>
      <c r="O99" s="371">
        <f t="shared" si="70"/>
        <v>0</v>
      </c>
      <c r="P99" s="370">
        <v>1</v>
      </c>
      <c r="Q99" s="370">
        <f t="shared" si="66"/>
        <v>7.0999999999999994E-2</v>
      </c>
      <c r="R99" s="51">
        <v>1641220</v>
      </c>
      <c r="S99" s="33">
        <v>58689020</v>
      </c>
      <c r="T99" s="382">
        <v>3400000</v>
      </c>
      <c r="U99" s="382">
        <f t="shared" si="46"/>
        <v>2566615.9160000002</v>
      </c>
      <c r="V99" s="58" t="s">
        <v>92</v>
      </c>
      <c r="W99" s="22" t="s">
        <v>78</v>
      </c>
      <c r="X99" s="52">
        <v>1</v>
      </c>
      <c r="Y99" s="52" t="s">
        <v>93</v>
      </c>
      <c r="Z99" s="52"/>
      <c r="AA99" s="53"/>
      <c r="AB99" s="392">
        <f t="shared" si="47"/>
        <v>139777.23666666663</v>
      </c>
      <c r="AC99" s="54"/>
      <c r="AD99" s="33">
        <f t="shared" si="45"/>
        <v>1641.22</v>
      </c>
      <c r="AE99" s="48" t="s">
        <v>94</v>
      </c>
    </row>
    <row r="100" spans="1:31" s="55" customFormat="1" ht="15.75" customHeight="1">
      <c r="A100" s="56" t="s">
        <v>86</v>
      </c>
      <c r="B100" s="10" t="str">
        <f>VLOOKUP(A100,[1]Sheet1!$A:$B,2,0)</f>
        <v>MODI</v>
      </c>
      <c r="C100" s="20" t="s">
        <v>95</v>
      </c>
      <c r="D100" s="262">
        <v>310493196000</v>
      </c>
      <c r="E100" s="22" t="s">
        <v>74</v>
      </c>
      <c r="F100" s="48" t="s">
        <v>75</v>
      </c>
      <c r="G100" s="49" t="s">
        <v>76</v>
      </c>
      <c r="H100" s="50">
        <v>2024</v>
      </c>
      <c r="I100" s="334">
        <v>1</v>
      </c>
      <c r="J100" s="338">
        <v>45608</v>
      </c>
      <c r="K100" s="228"/>
      <c r="L100" s="399">
        <v>4.1200000000000001E-2</v>
      </c>
      <c r="M100" s="399">
        <v>5.2658333333333335E-2</v>
      </c>
      <c r="N100" s="404">
        <v>1.15E-2</v>
      </c>
      <c r="O100" s="371">
        <f t="shared" si="70"/>
        <v>0</v>
      </c>
      <c r="P100" s="370">
        <v>1</v>
      </c>
      <c r="Q100" s="370">
        <f t="shared" si="66"/>
        <v>4.1200000000000001E-2</v>
      </c>
      <c r="R100" s="51">
        <v>1425085</v>
      </c>
      <c r="S100" s="33">
        <v>30276275</v>
      </c>
      <c r="T100" s="382">
        <v>1650000</v>
      </c>
      <c r="U100" s="382">
        <f t="shared" si="46"/>
        <v>1301822.8374999999</v>
      </c>
      <c r="V100" s="58" t="s">
        <v>92</v>
      </c>
      <c r="W100" s="22" t="s">
        <v>78</v>
      </c>
      <c r="X100" s="52">
        <v>0.47000000000000003</v>
      </c>
      <c r="Y100" s="52" t="s">
        <v>93</v>
      </c>
      <c r="Z100" s="52"/>
      <c r="AA100" s="53"/>
      <c r="AB100" s="392">
        <f t="shared" si="47"/>
        <v>75042.600958333336</v>
      </c>
      <c r="AC100" s="54"/>
      <c r="AD100" s="33">
        <f t="shared" si="45"/>
        <v>669.78995000000009</v>
      </c>
      <c r="AE100" s="48"/>
    </row>
    <row r="101" spans="1:31" s="55" customFormat="1" ht="15.75" customHeight="1">
      <c r="A101" s="56" t="s">
        <v>96</v>
      </c>
      <c r="B101" s="10" t="str">
        <f>VLOOKUP(A101,[1]Sheet1!$A:$B,2,0)</f>
        <v>MODI</v>
      </c>
      <c r="C101" s="37" t="s">
        <v>97</v>
      </c>
      <c r="D101" s="22">
        <v>353003232</v>
      </c>
      <c r="E101" s="22" t="s">
        <v>74</v>
      </c>
      <c r="F101" s="48" t="s">
        <v>75</v>
      </c>
      <c r="G101" s="49" t="s">
        <v>76</v>
      </c>
      <c r="H101" s="50">
        <v>2023</v>
      </c>
      <c r="I101" s="334">
        <v>1</v>
      </c>
      <c r="J101" s="338">
        <v>45608</v>
      </c>
      <c r="K101" s="240"/>
      <c r="L101" s="369">
        <v>0.5</v>
      </c>
      <c r="M101" s="369">
        <v>0.56640000000000001</v>
      </c>
      <c r="N101" s="370">
        <v>6.6400000000000001E-2</v>
      </c>
      <c r="O101" s="371">
        <f t="shared" si="70"/>
        <v>0</v>
      </c>
      <c r="P101" s="370">
        <v>1</v>
      </c>
      <c r="Q101" s="370">
        <f t="shared" si="66"/>
        <v>0.5</v>
      </c>
      <c r="R101" s="51">
        <v>0</v>
      </c>
      <c r="S101" s="33">
        <v>0</v>
      </c>
      <c r="T101" s="382">
        <v>830000</v>
      </c>
      <c r="U101" s="382">
        <f t="shared" ref="U101" si="98">T101-N101*S101</f>
        <v>830000</v>
      </c>
      <c r="V101" s="22" t="s">
        <v>82</v>
      </c>
      <c r="W101" s="22" t="s">
        <v>78</v>
      </c>
      <c r="X101" s="52">
        <v>8</v>
      </c>
      <c r="Y101" s="52" t="s">
        <v>83</v>
      </c>
      <c r="Z101" s="52"/>
      <c r="AA101" s="53"/>
      <c r="AB101" s="392">
        <f t="shared" ref="AB101" si="99">M101*R101</f>
        <v>0</v>
      </c>
      <c r="AC101" s="54"/>
      <c r="AD101" s="33">
        <f t="shared" ref="AD101" si="100">R101*X101/1000</f>
        <v>0</v>
      </c>
      <c r="AE101" s="48"/>
    </row>
    <row r="102" spans="1:31" s="55" customFormat="1" ht="15.75" customHeight="1">
      <c r="A102" s="56" t="s">
        <v>96</v>
      </c>
      <c r="B102" s="10" t="str">
        <f>VLOOKUP(A102,[1]Sheet1!$A:$B,2,0)</f>
        <v>MODI</v>
      </c>
      <c r="C102" s="37" t="s">
        <v>97</v>
      </c>
      <c r="D102" s="22">
        <v>353003232</v>
      </c>
      <c r="E102" s="22" t="s">
        <v>74</v>
      </c>
      <c r="F102" s="48" t="s">
        <v>75</v>
      </c>
      <c r="G102" s="49" t="s">
        <v>76</v>
      </c>
      <c r="H102" s="50">
        <v>2023</v>
      </c>
      <c r="I102" s="334">
        <v>2</v>
      </c>
      <c r="J102" s="338">
        <v>45608</v>
      </c>
      <c r="K102" s="240"/>
      <c r="L102" s="369">
        <v>0.5</v>
      </c>
      <c r="M102" s="369">
        <v>0.56640000000000001</v>
      </c>
      <c r="N102" s="370">
        <v>6.6400000000000001E-2</v>
      </c>
      <c r="O102" s="371">
        <f t="shared" si="70"/>
        <v>0</v>
      </c>
      <c r="P102" s="370">
        <v>1</v>
      </c>
      <c r="Q102" s="370">
        <f t="shared" si="66"/>
        <v>0.5</v>
      </c>
      <c r="R102" s="51">
        <v>101412</v>
      </c>
      <c r="S102" s="33">
        <v>101412</v>
      </c>
      <c r="T102" s="382">
        <v>830000</v>
      </c>
      <c r="U102" s="382">
        <f t="shared" ref="U102:U103" si="101">T102-N102*S102</f>
        <v>823266.24320000003</v>
      </c>
      <c r="V102" s="22" t="s">
        <v>82</v>
      </c>
      <c r="W102" s="22" t="s">
        <v>78</v>
      </c>
      <c r="X102" s="52">
        <v>8</v>
      </c>
      <c r="Y102" s="52" t="s">
        <v>83</v>
      </c>
      <c r="Z102" s="52"/>
      <c r="AA102" s="53"/>
      <c r="AB102" s="392">
        <f t="shared" ref="AB102:AB103" si="102">M102*R102</f>
        <v>57439.756800000003</v>
      </c>
      <c r="AC102" s="54"/>
      <c r="AD102" s="33">
        <f t="shared" ref="AD102:AD103" si="103">R102*X102/1000</f>
        <v>811.29600000000005</v>
      </c>
      <c r="AE102" s="48"/>
    </row>
    <row r="103" spans="1:31" s="55" customFormat="1" ht="15.75" customHeight="1">
      <c r="A103" s="56" t="s">
        <v>96</v>
      </c>
      <c r="B103" s="10" t="str">
        <f>VLOOKUP(A103,[1]Sheet1!$A:$B,2,0)</f>
        <v>MODI</v>
      </c>
      <c r="C103" s="37" t="s">
        <v>97</v>
      </c>
      <c r="D103" s="22">
        <v>353003232</v>
      </c>
      <c r="E103" s="22" t="s">
        <v>74</v>
      </c>
      <c r="F103" s="48" t="s">
        <v>75</v>
      </c>
      <c r="G103" s="49" t="s">
        <v>76</v>
      </c>
      <c r="H103" s="50">
        <v>2023</v>
      </c>
      <c r="I103" s="334">
        <v>3</v>
      </c>
      <c r="J103" s="338">
        <v>45608</v>
      </c>
      <c r="K103" s="240"/>
      <c r="L103" s="369">
        <v>0.5</v>
      </c>
      <c r="M103" s="369">
        <v>0.56640000000000001</v>
      </c>
      <c r="N103" s="370">
        <v>6.6400000000000001E-2</v>
      </c>
      <c r="O103" s="371">
        <f t="shared" si="70"/>
        <v>0</v>
      </c>
      <c r="P103" s="370">
        <v>1</v>
      </c>
      <c r="Q103" s="370">
        <f t="shared" si="66"/>
        <v>0.5</v>
      </c>
      <c r="R103" s="51">
        <v>282143</v>
      </c>
      <c r="S103" s="33">
        <v>383555</v>
      </c>
      <c r="T103" s="382">
        <v>830000</v>
      </c>
      <c r="U103" s="382">
        <f t="shared" si="101"/>
        <v>804531.94799999997</v>
      </c>
      <c r="V103" s="22" t="s">
        <v>82</v>
      </c>
      <c r="W103" s="22" t="s">
        <v>78</v>
      </c>
      <c r="X103" s="52">
        <v>8</v>
      </c>
      <c r="Y103" s="52" t="s">
        <v>83</v>
      </c>
      <c r="Z103" s="52"/>
      <c r="AA103" s="53"/>
      <c r="AB103" s="392">
        <f t="shared" si="102"/>
        <v>159805.79519999999</v>
      </c>
      <c r="AC103" s="54"/>
      <c r="AD103" s="33">
        <f t="shared" si="103"/>
        <v>2257.1439999999998</v>
      </c>
      <c r="AE103" s="48"/>
    </row>
    <row r="104" spans="1:31" s="55" customFormat="1" ht="15.75" customHeight="1">
      <c r="A104" s="56" t="s">
        <v>96</v>
      </c>
      <c r="B104" s="10" t="str">
        <f>VLOOKUP(A104,[1]Sheet1!$A:$B,2,0)</f>
        <v>MODI</v>
      </c>
      <c r="C104" s="37" t="s">
        <v>97</v>
      </c>
      <c r="D104" s="22">
        <v>353003232</v>
      </c>
      <c r="E104" s="22" t="s">
        <v>74</v>
      </c>
      <c r="F104" s="48" t="s">
        <v>75</v>
      </c>
      <c r="G104" s="49" t="s">
        <v>76</v>
      </c>
      <c r="H104" s="50">
        <v>2023</v>
      </c>
      <c r="I104" s="334">
        <v>4</v>
      </c>
      <c r="J104" s="338">
        <v>45608</v>
      </c>
      <c r="K104" s="240"/>
      <c r="L104" s="369">
        <v>0.5</v>
      </c>
      <c r="M104" s="369">
        <v>0.56640000000000001</v>
      </c>
      <c r="N104" s="370">
        <v>6.6400000000000001E-2</v>
      </c>
      <c r="O104" s="371">
        <f t="shared" si="70"/>
        <v>0</v>
      </c>
      <c r="P104" s="370">
        <v>1</v>
      </c>
      <c r="Q104" s="370">
        <f t="shared" si="66"/>
        <v>0.5</v>
      </c>
      <c r="R104" s="51">
        <v>284141</v>
      </c>
      <c r="S104" s="33">
        <v>667696</v>
      </c>
      <c r="T104" s="382">
        <v>830000</v>
      </c>
      <c r="U104" s="382">
        <f t="shared" ref="U104:U107" si="104">T104-N104*S104</f>
        <v>785664.98560000001</v>
      </c>
      <c r="V104" s="22" t="s">
        <v>82</v>
      </c>
      <c r="W104" s="22" t="s">
        <v>78</v>
      </c>
      <c r="X104" s="52">
        <v>8</v>
      </c>
      <c r="Y104" s="52" t="s">
        <v>83</v>
      </c>
      <c r="Z104" s="52"/>
      <c r="AA104" s="53"/>
      <c r="AB104" s="392">
        <f t="shared" ref="AB104:AB107" si="105">M104*R104</f>
        <v>160937.46240000002</v>
      </c>
      <c r="AC104" s="54"/>
      <c r="AD104" s="33">
        <f t="shared" ref="AD104:AD107" si="106">R104*X104/1000</f>
        <v>2273.1280000000002</v>
      </c>
      <c r="AE104" s="48"/>
    </row>
    <row r="105" spans="1:31" s="55" customFormat="1" ht="15.75" customHeight="1">
      <c r="A105" s="56" t="s">
        <v>96</v>
      </c>
      <c r="B105" s="10" t="str">
        <f>VLOOKUP(A105,[1]Sheet1!$A:$B,2,0)</f>
        <v>MODI</v>
      </c>
      <c r="C105" s="37" t="s">
        <v>97</v>
      </c>
      <c r="D105" s="22">
        <v>353003232</v>
      </c>
      <c r="E105" s="22" t="s">
        <v>74</v>
      </c>
      <c r="F105" s="48" t="s">
        <v>75</v>
      </c>
      <c r="G105" s="49" t="s">
        <v>76</v>
      </c>
      <c r="H105" s="50">
        <v>2023</v>
      </c>
      <c r="I105" s="334">
        <v>5</v>
      </c>
      <c r="J105" s="338">
        <v>45608</v>
      </c>
      <c r="K105" s="240"/>
      <c r="L105" s="369">
        <v>0.5</v>
      </c>
      <c r="M105" s="369">
        <v>0.56640000000000001</v>
      </c>
      <c r="N105" s="370">
        <v>6.6400000000000001E-2</v>
      </c>
      <c r="O105" s="371">
        <f t="shared" si="70"/>
        <v>0</v>
      </c>
      <c r="P105" s="370">
        <v>1</v>
      </c>
      <c r="Q105" s="370">
        <f t="shared" si="66"/>
        <v>0.5</v>
      </c>
      <c r="R105" s="51">
        <v>476172</v>
      </c>
      <c r="S105" s="33">
        <v>1143868</v>
      </c>
      <c r="T105" s="382">
        <v>830000</v>
      </c>
      <c r="U105" s="382">
        <f t="shared" si="104"/>
        <v>754047.16480000003</v>
      </c>
      <c r="V105" s="22" t="s">
        <v>82</v>
      </c>
      <c r="W105" s="22" t="s">
        <v>78</v>
      </c>
      <c r="X105" s="52">
        <v>8</v>
      </c>
      <c r="Y105" s="52" t="s">
        <v>83</v>
      </c>
      <c r="Z105" s="52"/>
      <c r="AA105" s="53"/>
      <c r="AB105" s="392">
        <f t="shared" si="105"/>
        <v>269703.82079999999</v>
      </c>
      <c r="AC105" s="54"/>
      <c r="AD105" s="33">
        <f t="shared" si="106"/>
        <v>3809.3760000000002</v>
      </c>
      <c r="AE105" s="48"/>
    </row>
    <row r="106" spans="1:31" s="55" customFormat="1" ht="15.75" customHeight="1">
      <c r="A106" s="56" t="s">
        <v>96</v>
      </c>
      <c r="B106" s="10" t="str">
        <f>VLOOKUP(A106,[1]Sheet1!$A:$B,2,0)</f>
        <v>MODI</v>
      </c>
      <c r="C106" s="37" t="s">
        <v>97</v>
      </c>
      <c r="D106" s="22">
        <v>353003232</v>
      </c>
      <c r="E106" s="22" t="s">
        <v>74</v>
      </c>
      <c r="F106" s="48" t="s">
        <v>75</v>
      </c>
      <c r="G106" s="49" t="s">
        <v>76</v>
      </c>
      <c r="H106" s="50">
        <v>2023</v>
      </c>
      <c r="I106" s="334">
        <v>6</v>
      </c>
      <c r="J106" s="338">
        <v>45608</v>
      </c>
      <c r="K106" s="240"/>
      <c r="L106" s="369">
        <v>0.5</v>
      </c>
      <c r="M106" s="369">
        <v>0.56640000000000001</v>
      </c>
      <c r="N106" s="370">
        <v>6.6400000000000001E-2</v>
      </c>
      <c r="O106" s="371">
        <f t="shared" si="70"/>
        <v>0</v>
      </c>
      <c r="P106" s="370">
        <v>1</v>
      </c>
      <c r="Q106" s="370">
        <f t="shared" si="66"/>
        <v>0.5</v>
      </c>
      <c r="R106" s="51">
        <v>389260</v>
      </c>
      <c r="S106" s="33">
        <v>1533128</v>
      </c>
      <c r="T106" s="382">
        <v>830000</v>
      </c>
      <c r="U106" s="382">
        <f t="shared" si="104"/>
        <v>728200.30079999997</v>
      </c>
      <c r="V106" s="22" t="s">
        <v>82</v>
      </c>
      <c r="W106" s="22" t="s">
        <v>78</v>
      </c>
      <c r="X106" s="52">
        <v>8</v>
      </c>
      <c r="Y106" s="52" t="s">
        <v>83</v>
      </c>
      <c r="Z106" s="52"/>
      <c r="AA106" s="53"/>
      <c r="AB106" s="392">
        <f t="shared" si="105"/>
        <v>220476.864</v>
      </c>
      <c r="AC106" s="54"/>
      <c r="AD106" s="33">
        <f t="shared" si="106"/>
        <v>3114.08</v>
      </c>
      <c r="AE106" s="48"/>
    </row>
    <row r="107" spans="1:31" s="55" customFormat="1" ht="15.75" customHeight="1">
      <c r="A107" s="56" t="s">
        <v>96</v>
      </c>
      <c r="B107" s="10" t="str">
        <f>VLOOKUP(A107,[1]Sheet1!$A:$B,2,0)</f>
        <v>MODI</v>
      </c>
      <c r="C107" s="37" t="s">
        <v>97</v>
      </c>
      <c r="D107" s="22">
        <v>353003232</v>
      </c>
      <c r="E107" s="22" t="s">
        <v>74</v>
      </c>
      <c r="F107" s="48" t="s">
        <v>75</v>
      </c>
      <c r="G107" s="49" t="s">
        <v>76</v>
      </c>
      <c r="H107" s="50">
        <v>2023</v>
      </c>
      <c r="I107" s="334">
        <v>7</v>
      </c>
      <c r="J107" s="338">
        <v>45608</v>
      </c>
      <c r="K107" s="240"/>
      <c r="L107" s="369">
        <v>0.5</v>
      </c>
      <c r="M107" s="369">
        <v>0.56640000000000001</v>
      </c>
      <c r="N107" s="370">
        <v>6.6400000000000001E-2</v>
      </c>
      <c r="O107" s="371">
        <f t="shared" si="70"/>
        <v>0</v>
      </c>
      <c r="P107" s="370">
        <v>1</v>
      </c>
      <c r="Q107" s="370">
        <f t="shared" si="66"/>
        <v>0.5</v>
      </c>
      <c r="R107" s="51">
        <v>474148</v>
      </c>
      <c r="S107" s="33">
        <v>2007276</v>
      </c>
      <c r="T107" s="382">
        <v>830000</v>
      </c>
      <c r="U107" s="382">
        <f t="shared" si="104"/>
        <v>696716.87360000005</v>
      </c>
      <c r="V107" s="22" t="s">
        <v>82</v>
      </c>
      <c r="W107" s="22" t="s">
        <v>78</v>
      </c>
      <c r="X107" s="52">
        <v>8</v>
      </c>
      <c r="Y107" s="52" t="s">
        <v>83</v>
      </c>
      <c r="Z107" s="52"/>
      <c r="AA107" s="53"/>
      <c r="AB107" s="392">
        <f t="shared" si="105"/>
        <v>268557.42720000003</v>
      </c>
      <c r="AC107" s="54"/>
      <c r="AD107" s="33">
        <f t="shared" si="106"/>
        <v>3793.1840000000002</v>
      </c>
      <c r="AE107" s="48"/>
    </row>
    <row r="108" spans="1:31" s="55" customFormat="1" ht="15.75" customHeight="1">
      <c r="A108" s="56" t="s">
        <v>96</v>
      </c>
      <c r="B108" s="10" t="str">
        <f>VLOOKUP(A108,[1]Sheet1!$A:$B,2,0)</f>
        <v>MODI</v>
      </c>
      <c r="C108" s="37" t="s">
        <v>97</v>
      </c>
      <c r="D108" s="22">
        <v>353003232</v>
      </c>
      <c r="E108" s="22" t="s">
        <v>74</v>
      </c>
      <c r="F108" s="48" t="s">
        <v>75</v>
      </c>
      <c r="G108" s="49" t="s">
        <v>76</v>
      </c>
      <c r="H108" s="50">
        <v>2023</v>
      </c>
      <c r="I108" s="334">
        <v>8</v>
      </c>
      <c r="J108" s="338">
        <v>45608</v>
      </c>
      <c r="K108" s="240"/>
      <c r="L108" s="369">
        <v>0.5</v>
      </c>
      <c r="M108" s="369">
        <v>0.56640000000000001</v>
      </c>
      <c r="N108" s="370">
        <v>6.6400000000000001E-2</v>
      </c>
      <c r="O108" s="371">
        <f t="shared" si="70"/>
        <v>0</v>
      </c>
      <c r="P108" s="370">
        <v>1</v>
      </c>
      <c r="Q108" s="370">
        <f t="shared" si="66"/>
        <v>0.5</v>
      </c>
      <c r="R108" s="51">
        <v>376289</v>
      </c>
      <c r="S108" s="33">
        <v>2383565</v>
      </c>
      <c r="T108" s="382">
        <v>830000</v>
      </c>
      <c r="U108" s="382">
        <f t="shared" ref="U108:U111" si="107">T108-N108*S108</f>
        <v>671731.28399999999</v>
      </c>
      <c r="V108" s="22" t="s">
        <v>82</v>
      </c>
      <c r="W108" s="22" t="s">
        <v>78</v>
      </c>
      <c r="X108" s="52">
        <v>8</v>
      </c>
      <c r="Y108" s="52" t="s">
        <v>83</v>
      </c>
      <c r="Z108" s="52"/>
      <c r="AA108" s="53"/>
      <c r="AB108" s="392">
        <f t="shared" ref="AB108:AB111" si="108">M108*R108</f>
        <v>213130.08960000001</v>
      </c>
      <c r="AC108" s="54"/>
      <c r="AD108" s="33">
        <f t="shared" ref="AD108:AD111" si="109">R108*X108/1000</f>
        <v>3010.3119999999999</v>
      </c>
      <c r="AE108" s="48"/>
    </row>
    <row r="109" spans="1:31" s="55" customFormat="1" ht="15.75" customHeight="1">
      <c r="A109" s="56" t="s">
        <v>96</v>
      </c>
      <c r="B109" s="10" t="str">
        <f>VLOOKUP(A109,[1]Sheet1!$A:$B,2,0)</f>
        <v>MODI</v>
      </c>
      <c r="C109" s="37" t="s">
        <v>97</v>
      </c>
      <c r="D109" s="22">
        <v>353003232</v>
      </c>
      <c r="E109" s="22" t="s">
        <v>74</v>
      </c>
      <c r="F109" s="48" t="s">
        <v>75</v>
      </c>
      <c r="G109" s="49" t="s">
        <v>76</v>
      </c>
      <c r="H109" s="50">
        <v>2023</v>
      </c>
      <c r="I109" s="334">
        <v>9</v>
      </c>
      <c r="J109" s="338">
        <v>45608</v>
      </c>
      <c r="K109" s="240"/>
      <c r="L109" s="369">
        <v>0.5</v>
      </c>
      <c r="M109" s="369">
        <v>0.56640000000000001</v>
      </c>
      <c r="N109" s="370">
        <v>6.6400000000000001E-2</v>
      </c>
      <c r="O109" s="371">
        <f t="shared" si="70"/>
        <v>0</v>
      </c>
      <c r="P109" s="370">
        <v>1</v>
      </c>
      <c r="Q109" s="370">
        <f t="shared" si="66"/>
        <v>0.5</v>
      </c>
      <c r="R109" s="51">
        <v>332973</v>
      </c>
      <c r="S109" s="33">
        <v>2716538</v>
      </c>
      <c r="T109" s="382">
        <v>830000</v>
      </c>
      <c r="U109" s="382">
        <f t="shared" si="107"/>
        <v>649621.87679999997</v>
      </c>
      <c r="V109" s="22" t="s">
        <v>82</v>
      </c>
      <c r="W109" s="22" t="s">
        <v>78</v>
      </c>
      <c r="X109" s="52">
        <v>8</v>
      </c>
      <c r="Y109" s="52" t="s">
        <v>83</v>
      </c>
      <c r="Z109" s="52"/>
      <c r="AA109" s="53"/>
      <c r="AB109" s="392">
        <f t="shared" si="108"/>
        <v>188595.90720000002</v>
      </c>
      <c r="AC109" s="54"/>
      <c r="AD109" s="33">
        <f t="shared" si="109"/>
        <v>2663.7840000000001</v>
      </c>
      <c r="AE109" s="48"/>
    </row>
    <row r="110" spans="1:31" s="55" customFormat="1" ht="15.75" customHeight="1">
      <c r="A110" s="56" t="s">
        <v>96</v>
      </c>
      <c r="B110" s="10" t="str">
        <f>VLOOKUP(A110,[1]Sheet1!$A:$B,2,0)</f>
        <v>MODI</v>
      </c>
      <c r="C110" s="37" t="s">
        <v>97</v>
      </c>
      <c r="D110" s="22">
        <v>353003232</v>
      </c>
      <c r="E110" s="22" t="s">
        <v>74</v>
      </c>
      <c r="F110" s="48" t="s">
        <v>75</v>
      </c>
      <c r="G110" s="49" t="s">
        <v>76</v>
      </c>
      <c r="H110" s="50">
        <v>2023</v>
      </c>
      <c r="I110" s="334">
        <v>10</v>
      </c>
      <c r="J110" s="338">
        <v>45608</v>
      </c>
      <c r="K110" s="240"/>
      <c r="L110" s="369">
        <v>0.5</v>
      </c>
      <c r="M110" s="369">
        <v>0.56640000000000001</v>
      </c>
      <c r="N110" s="370">
        <v>6.6400000000000001E-2</v>
      </c>
      <c r="O110" s="371">
        <f t="shared" si="70"/>
        <v>0</v>
      </c>
      <c r="P110" s="370">
        <v>1</v>
      </c>
      <c r="Q110" s="370">
        <f t="shared" si="66"/>
        <v>0.5</v>
      </c>
      <c r="R110" s="51">
        <v>173016</v>
      </c>
      <c r="S110" s="33">
        <v>2889554</v>
      </c>
      <c r="T110" s="382">
        <v>830000</v>
      </c>
      <c r="U110" s="382">
        <f t="shared" si="107"/>
        <v>638133.61439999996</v>
      </c>
      <c r="V110" s="22" t="s">
        <v>82</v>
      </c>
      <c r="W110" s="22" t="s">
        <v>78</v>
      </c>
      <c r="X110" s="52">
        <v>8</v>
      </c>
      <c r="Y110" s="52" t="s">
        <v>83</v>
      </c>
      <c r="Z110" s="52"/>
      <c r="AA110" s="53"/>
      <c r="AB110" s="392">
        <f t="shared" si="108"/>
        <v>97996.262400000007</v>
      </c>
      <c r="AC110" s="54"/>
      <c r="AD110" s="33">
        <f t="shared" si="109"/>
        <v>1384.1279999999999</v>
      </c>
      <c r="AE110" s="48"/>
    </row>
    <row r="111" spans="1:31" s="55" customFormat="1" ht="15.75" customHeight="1">
      <c r="A111" s="56" t="s">
        <v>96</v>
      </c>
      <c r="B111" s="10" t="str">
        <f>VLOOKUP(A111,[1]Sheet1!$A:$B,2,0)</f>
        <v>MODI</v>
      </c>
      <c r="C111" s="37" t="s">
        <v>97</v>
      </c>
      <c r="D111" s="22">
        <v>353003232</v>
      </c>
      <c r="E111" s="22" t="s">
        <v>74</v>
      </c>
      <c r="F111" s="48" t="s">
        <v>75</v>
      </c>
      <c r="G111" s="49" t="s">
        <v>76</v>
      </c>
      <c r="H111" s="50">
        <v>2023</v>
      </c>
      <c r="I111" s="334">
        <v>11</v>
      </c>
      <c r="J111" s="338">
        <v>45608</v>
      </c>
      <c r="K111" s="240"/>
      <c r="L111" s="369">
        <v>0.5</v>
      </c>
      <c r="M111" s="369">
        <v>0.56640000000000001</v>
      </c>
      <c r="N111" s="370">
        <v>6.6400000000000001E-2</v>
      </c>
      <c r="O111" s="371">
        <f t="shared" si="70"/>
        <v>0</v>
      </c>
      <c r="P111" s="370">
        <v>1</v>
      </c>
      <c r="Q111" s="370">
        <f t="shared" si="66"/>
        <v>0.5</v>
      </c>
      <c r="R111" s="51">
        <v>191160</v>
      </c>
      <c r="S111" s="33">
        <v>3080714</v>
      </c>
      <c r="T111" s="382">
        <v>830000</v>
      </c>
      <c r="U111" s="382">
        <f t="shared" si="107"/>
        <v>625440.59039999999</v>
      </c>
      <c r="V111" s="22" t="s">
        <v>82</v>
      </c>
      <c r="W111" s="22" t="s">
        <v>78</v>
      </c>
      <c r="X111" s="52">
        <v>8</v>
      </c>
      <c r="Y111" s="52" t="s">
        <v>83</v>
      </c>
      <c r="Z111" s="52"/>
      <c r="AA111" s="53"/>
      <c r="AB111" s="392">
        <f t="shared" si="108"/>
        <v>108273.024</v>
      </c>
      <c r="AC111" s="54"/>
      <c r="AD111" s="33">
        <f t="shared" si="109"/>
        <v>1529.28</v>
      </c>
      <c r="AE111" s="48"/>
    </row>
    <row r="112" spans="1:31" s="55" customFormat="1" ht="15.75" customHeight="1">
      <c r="A112" s="56" t="s">
        <v>96</v>
      </c>
      <c r="B112" s="10" t="str">
        <f>VLOOKUP(A112,[1]Sheet1!$A:$B,2,0)</f>
        <v>MODI</v>
      </c>
      <c r="C112" s="37" t="s">
        <v>97</v>
      </c>
      <c r="D112" s="22">
        <v>353003232</v>
      </c>
      <c r="E112" s="22" t="s">
        <v>74</v>
      </c>
      <c r="F112" s="48" t="s">
        <v>75</v>
      </c>
      <c r="G112" s="49" t="s">
        <v>76</v>
      </c>
      <c r="H112" s="50">
        <v>2023</v>
      </c>
      <c r="I112" s="334">
        <v>12</v>
      </c>
      <c r="J112" s="338">
        <v>45608</v>
      </c>
      <c r="K112" s="240"/>
      <c r="L112" s="369">
        <v>0.5</v>
      </c>
      <c r="M112" s="369">
        <v>0.56640000000000001</v>
      </c>
      <c r="N112" s="370">
        <v>6.6400000000000001E-2</v>
      </c>
      <c r="O112" s="371">
        <f t="shared" si="70"/>
        <v>0</v>
      </c>
      <c r="P112" s="370">
        <v>1</v>
      </c>
      <c r="Q112" s="370">
        <f t="shared" si="66"/>
        <v>0.5</v>
      </c>
      <c r="R112" s="51">
        <v>255312</v>
      </c>
      <c r="S112" s="33">
        <v>3336026</v>
      </c>
      <c r="T112" s="382">
        <v>830000</v>
      </c>
      <c r="U112" s="382">
        <f t="shared" ref="U112:U113" si="110">T112-N112*S112</f>
        <v>608487.87360000005</v>
      </c>
      <c r="V112" s="22" t="s">
        <v>82</v>
      </c>
      <c r="W112" s="22" t="s">
        <v>78</v>
      </c>
      <c r="X112" s="52">
        <v>8</v>
      </c>
      <c r="Y112" s="52" t="s">
        <v>83</v>
      </c>
      <c r="Z112" s="52"/>
      <c r="AA112" s="53"/>
      <c r="AB112" s="392">
        <f t="shared" ref="AB112:AB113" si="111">M112*R112</f>
        <v>144608.71679999999</v>
      </c>
      <c r="AC112" s="54"/>
      <c r="AD112" s="33">
        <f t="shared" ref="AD112:AD113" si="112">R112*X112/1000</f>
        <v>2042.4960000000001</v>
      </c>
      <c r="AE112" s="48"/>
    </row>
    <row r="113" spans="1:31" s="55" customFormat="1" ht="15.75" customHeight="1">
      <c r="A113" s="56" t="s">
        <v>96</v>
      </c>
      <c r="B113" s="10" t="str">
        <f>VLOOKUP(A113,[1]Sheet1!$A:$B,2,0)</f>
        <v>MODI</v>
      </c>
      <c r="C113" s="37" t="s">
        <v>98</v>
      </c>
      <c r="D113" s="22">
        <v>353003233</v>
      </c>
      <c r="E113" s="22" t="s">
        <v>74</v>
      </c>
      <c r="F113" s="48" t="s">
        <v>75</v>
      </c>
      <c r="G113" s="49" t="s">
        <v>76</v>
      </c>
      <c r="H113" s="50">
        <v>2023</v>
      </c>
      <c r="I113" s="334">
        <v>1</v>
      </c>
      <c r="J113" s="338">
        <v>45608</v>
      </c>
      <c r="K113" s="240"/>
      <c r="L113" s="369">
        <v>8.4000000000000005E-2</v>
      </c>
      <c r="M113" s="369">
        <v>0.1157</v>
      </c>
      <c r="N113" s="370">
        <v>3.1699999999999999E-2</v>
      </c>
      <c r="O113" s="371">
        <f t="shared" si="70"/>
        <v>0</v>
      </c>
      <c r="P113" s="370">
        <v>1</v>
      </c>
      <c r="Q113" s="370">
        <f t="shared" si="66"/>
        <v>8.4000000000000005E-2</v>
      </c>
      <c r="R113" s="51">
        <v>386735</v>
      </c>
      <c r="S113" s="33">
        <v>386735</v>
      </c>
      <c r="T113" s="382">
        <v>396100</v>
      </c>
      <c r="U113" s="382">
        <f t="shared" si="110"/>
        <v>383840.50050000002</v>
      </c>
      <c r="V113" s="22" t="s">
        <v>82</v>
      </c>
      <c r="W113" s="22" t="s">
        <v>78</v>
      </c>
      <c r="X113" s="52">
        <v>1.7</v>
      </c>
      <c r="Y113" s="52" t="s">
        <v>83</v>
      </c>
      <c r="Z113" s="52"/>
      <c r="AA113" s="53"/>
      <c r="AB113" s="392">
        <f t="shared" si="111"/>
        <v>44745.239499999996</v>
      </c>
      <c r="AC113" s="54"/>
      <c r="AD113" s="33">
        <f t="shared" si="112"/>
        <v>657.44949999999994</v>
      </c>
      <c r="AE113" s="48"/>
    </row>
    <row r="114" spans="1:31" s="55" customFormat="1" ht="15.75" customHeight="1">
      <c r="A114" s="56" t="s">
        <v>96</v>
      </c>
      <c r="B114" s="10" t="str">
        <f>VLOOKUP(A114,[1]Sheet1!$A:$B,2,0)</f>
        <v>MODI</v>
      </c>
      <c r="C114" s="37" t="s">
        <v>98</v>
      </c>
      <c r="D114" s="22">
        <v>353003233</v>
      </c>
      <c r="E114" s="22" t="s">
        <v>74</v>
      </c>
      <c r="F114" s="48" t="s">
        <v>75</v>
      </c>
      <c r="G114" s="49" t="s">
        <v>76</v>
      </c>
      <c r="H114" s="50">
        <v>2023</v>
      </c>
      <c r="I114" s="334">
        <v>2</v>
      </c>
      <c r="J114" s="338">
        <v>45608</v>
      </c>
      <c r="K114" s="240"/>
      <c r="L114" s="369">
        <v>8.4000000000000005E-2</v>
      </c>
      <c r="M114" s="369">
        <v>0.1157</v>
      </c>
      <c r="N114" s="370">
        <v>3.1699999999999999E-2</v>
      </c>
      <c r="O114" s="371">
        <f t="shared" si="70"/>
        <v>0</v>
      </c>
      <c r="P114" s="370">
        <v>1</v>
      </c>
      <c r="Q114" s="370">
        <f t="shared" si="66"/>
        <v>8.4000000000000005E-2</v>
      </c>
      <c r="R114" s="51">
        <v>401904</v>
      </c>
      <c r="S114" s="33">
        <v>788639</v>
      </c>
      <c r="T114" s="382">
        <v>396100</v>
      </c>
      <c r="U114" s="382">
        <f t="shared" ref="U114:U115" si="113">T114-N114*S114</f>
        <v>371100.14370000002</v>
      </c>
      <c r="V114" s="22" t="s">
        <v>82</v>
      </c>
      <c r="W114" s="22" t="s">
        <v>78</v>
      </c>
      <c r="X114" s="52">
        <v>1.7</v>
      </c>
      <c r="Y114" s="52" t="s">
        <v>83</v>
      </c>
      <c r="Z114" s="52"/>
      <c r="AA114" s="53"/>
      <c r="AB114" s="392">
        <f t="shared" ref="AB114:AB115" si="114">M114*R114</f>
        <v>46500.292799999996</v>
      </c>
      <c r="AC114" s="54"/>
      <c r="AD114" s="33">
        <f t="shared" ref="AD114:AD115" si="115">R114*X114/1000</f>
        <v>683.2367999999999</v>
      </c>
      <c r="AE114" s="48"/>
    </row>
    <row r="115" spans="1:31" s="55" customFormat="1" ht="15.75" customHeight="1">
      <c r="A115" s="56" t="s">
        <v>96</v>
      </c>
      <c r="B115" s="10" t="str">
        <f>VLOOKUP(A115,[1]Sheet1!$A:$B,2,0)</f>
        <v>MODI</v>
      </c>
      <c r="C115" s="37" t="s">
        <v>98</v>
      </c>
      <c r="D115" s="22">
        <v>353003233</v>
      </c>
      <c r="E115" s="22" t="s">
        <v>74</v>
      </c>
      <c r="F115" s="48" t="s">
        <v>75</v>
      </c>
      <c r="G115" s="49" t="s">
        <v>76</v>
      </c>
      <c r="H115" s="50">
        <v>2023</v>
      </c>
      <c r="I115" s="334">
        <v>3</v>
      </c>
      <c r="J115" s="338">
        <v>45608</v>
      </c>
      <c r="K115" s="240"/>
      <c r="L115" s="369">
        <v>8.4000000000000005E-2</v>
      </c>
      <c r="M115" s="369">
        <v>0.1157</v>
      </c>
      <c r="N115" s="370">
        <v>3.1699999999999999E-2</v>
      </c>
      <c r="O115" s="371">
        <f t="shared" si="70"/>
        <v>0</v>
      </c>
      <c r="P115" s="370">
        <v>1</v>
      </c>
      <c r="Q115" s="370">
        <f t="shared" si="66"/>
        <v>8.4000000000000005E-2</v>
      </c>
      <c r="R115" s="51">
        <v>819568</v>
      </c>
      <c r="S115" s="33">
        <v>1608207</v>
      </c>
      <c r="T115" s="382">
        <v>396100</v>
      </c>
      <c r="U115" s="382">
        <f t="shared" si="113"/>
        <v>345119.83809999999</v>
      </c>
      <c r="V115" s="22" t="s">
        <v>82</v>
      </c>
      <c r="W115" s="22" t="s">
        <v>78</v>
      </c>
      <c r="X115" s="52">
        <v>1.7</v>
      </c>
      <c r="Y115" s="52" t="s">
        <v>83</v>
      </c>
      <c r="Z115" s="52"/>
      <c r="AA115" s="53"/>
      <c r="AB115" s="392">
        <f t="shared" si="114"/>
        <v>94824.017599999992</v>
      </c>
      <c r="AC115" s="54"/>
      <c r="AD115" s="33">
        <f t="shared" si="115"/>
        <v>1393.2655999999999</v>
      </c>
      <c r="AE115" s="48"/>
    </row>
    <row r="116" spans="1:31" s="55" customFormat="1" ht="15.75" customHeight="1">
      <c r="A116" s="56" t="s">
        <v>96</v>
      </c>
      <c r="B116" s="10" t="str">
        <f>VLOOKUP(A116,[1]Sheet1!$A:$B,2,0)</f>
        <v>MODI</v>
      </c>
      <c r="C116" s="37" t="s">
        <v>98</v>
      </c>
      <c r="D116" s="22">
        <v>353003233</v>
      </c>
      <c r="E116" s="22" t="s">
        <v>74</v>
      </c>
      <c r="F116" s="48" t="s">
        <v>75</v>
      </c>
      <c r="G116" s="49" t="s">
        <v>76</v>
      </c>
      <c r="H116" s="50">
        <v>2023</v>
      </c>
      <c r="I116" s="334">
        <v>4</v>
      </c>
      <c r="J116" s="338">
        <v>45608</v>
      </c>
      <c r="K116" s="240"/>
      <c r="L116" s="369">
        <v>8.4000000000000005E-2</v>
      </c>
      <c r="M116" s="369">
        <v>0.1157</v>
      </c>
      <c r="N116" s="370">
        <v>3.1699999999999999E-2</v>
      </c>
      <c r="O116" s="371">
        <f t="shared" si="70"/>
        <v>0</v>
      </c>
      <c r="P116" s="370">
        <v>1</v>
      </c>
      <c r="Q116" s="370">
        <f t="shared" si="66"/>
        <v>8.4000000000000005E-2</v>
      </c>
      <c r="R116" s="51">
        <v>95889</v>
      </c>
      <c r="S116" s="33">
        <v>1704096</v>
      </c>
      <c r="T116" s="382">
        <v>396100</v>
      </c>
      <c r="U116" s="382">
        <f t="shared" ref="U116:U119" si="116">T116-N116*S116</f>
        <v>342080.1568</v>
      </c>
      <c r="V116" s="22" t="s">
        <v>82</v>
      </c>
      <c r="W116" s="22" t="s">
        <v>78</v>
      </c>
      <c r="X116" s="52">
        <v>1.7</v>
      </c>
      <c r="Y116" s="52" t="s">
        <v>83</v>
      </c>
      <c r="Z116" s="52"/>
      <c r="AA116" s="53"/>
      <c r="AB116" s="392">
        <f t="shared" ref="AB116:AB119" si="117">M116*R116</f>
        <v>11094.3573</v>
      </c>
      <c r="AC116" s="54"/>
      <c r="AD116" s="33">
        <f t="shared" ref="AD116:AD119" si="118">R116*X116/1000</f>
        <v>163.01129999999998</v>
      </c>
      <c r="AE116" s="48"/>
    </row>
    <row r="117" spans="1:31" s="55" customFormat="1" ht="15.75" customHeight="1">
      <c r="A117" s="56" t="s">
        <v>96</v>
      </c>
      <c r="B117" s="10" t="str">
        <f>VLOOKUP(A117,[1]Sheet1!$A:$B,2,0)</f>
        <v>MODI</v>
      </c>
      <c r="C117" s="37" t="s">
        <v>98</v>
      </c>
      <c r="D117" s="22">
        <v>353003233</v>
      </c>
      <c r="E117" s="22" t="s">
        <v>74</v>
      </c>
      <c r="F117" s="48" t="s">
        <v>75</v>
      </c>
      <c r="G117" s="49" t="s">
        <v>76</v>
      </c>
      <c r="H117" s="50">
        <v>2023</v>
      </c>
      <c r="I117" s="334">
        <v>5</v>
      </c>
      <c r="J117" s="338">
        <v>45608</v>
      </c>
      <c r="K117" s="240"/>
      <c r="L117" s="369">
        <v>8.4000000000000005E-2</v>
      </c>
      <c r="M117" s="369">
        <v>0.1157</v>
      </c>
      <c r="N117" s="370">
        <v>3.1699999999999999E-2</v>
      </c>
      <c r="O117" s="371">
        <f t="shared" si="70"/>
        <v>0</v>
      </c>
      <c r="P117" s="370">
        <v>1</v>
      </c>
      <c r="Q117" s="370">
        <f t="shared" si="66"/>
        <v>8.4000000000000005E-2</v>
      </c>
      <c r="R117" s="51">
        <v>431006</v>
      </c>
      <c r="S117" s="33">
        <v>2135102</v>
      </c>
      <c r="T117" s="382">
        <v>396100</v>
      </c>
      <c r="U117" s="382">
        <f t="shared" si="116"/>
        <v>328417.26659999997</v>
      </c>
      <c r="V117" s="22" t="s">
        <v>82</v>
      </c>
      <c r="W117" s="22" t="s">
        <v>78</v>
      </c>
      <c r="X117" s="52">
        <v>1.7</v>
      </c>
      <c r="Y117" s="52" t="s">
        <v>83</v>
      </c>
      <c r="Z117" s="52"/>
      <c r="AA117" s="53"/>
      <c r="AB117" s="392">
        <f t="shared" si="117"/>
        <v>49867.394200000002</v>
      </c>
      <c r="AC117" s="54"/>
      <c r="AD117" s="33">
        <f t="shared" si="118"/>
        <v>732.71019999999999</v>
      </c>
      <c r="AE117" s="48"/>
    </row>
    <row r="118" spans="1:31" s="55" customFormat="1" ht="15.75" customHeight="1">
      <c r="A118" s="56" t="s">
        <v>96</v>
      </c>
      <c r="B118" s="10" t="str">
        <f>VLOOKUP(A118,[1]Sheet1!$A:$B,2,0)</f>
        <v>MODI</v>
      </c>
      <c r="C118" s="37" t="s">
        <v>98</v>
      </c>
      <c r="D118" s="22">
        <v>353003233</v>
      </c>
      <c r="E118" s="22" t="s">
        <v>74</v>
      </c>
      <c r="F118" s="48" t="s">
        <v>75</v>
      </c>
      <c r="G118" s="49" t="s">
        <v>76</v>
      </c>
      <c r="H118" s="50">
        <v>2023</v>
      </c>
      <c r="I118" s="334">
        <v>6</v>
      </c>
      <c r="J118" s="338">
        <v>45608</v>
      </c>
      <c r="K118" s="240"/>
      <c r="L118" s="369">
        <v>8.4000000000000005E-2</v>
      </c>
      <c r="M118" s="369">
        <v>0.1157</v>
      </c>
      <c r="N118" s="370">
        <v>3.1699999999999999E-2</v>
      </c>
      <c r="O118" s="371">
        <f t="shared" si="70"/>
        <v>0</v>
      </c>
      <c r="P118" s="370">
        <v>1</v>
      </c>
      <c r="Q118" s="370">
        <f t="shared" si="66"/>
        <v>8.4000000000000005E-2</v>
      </c>
      <c r="R118" s="51">
        <v>425600</v>
      </c>
      <c r="S118" s="33">
        <v>2560702</v>
      </c>
      <c r="T118" s="382">
        <v>396100</v>
      </c>
      <c r="U118" s="382">
        <f t="shared" si="116"/>
        <v>314925.74660000001</v>
      </c>
      <c r="V118" s="22" t="s">
        <v>82</v>
      </c>
      <c r="W118" s="22" t="s">
        <v>78</v>
      </c>
      <c r="X118" s="52">
        <v>1.7</v>
      </c>
      <c r="Y118" s="52" t="s">
        <v>83</v>
      </c>
      <c r="Z118" s="52"/>
      <c r="AA118" s="53"/>
      <c r="AB118" s="392">
        <f t="shared" si="117"/>
        <v>49241.919999999998</v>
      </c>
      <c r="AC118" s="54"/>
      <c r="AD118" s="33">
        <f t="shared" si="118"/>
        <v>723.52</v>
      </c>
      <c r="AE118" s="48"/>
    </row>
    <row r="119" spans="1:31" s="55" customFormat="1" ht="15.75" customHeight="1">
      <c r="A119" s="56" t="s">
        <v>96</v>
      </c>
      <c r="B119" s="10" t="str">
        <f>VLOOKUP(A119,[1]Sheet1!$A:$B,2,0)</f>
        <v>MODI</v>
      </c>
      <c r="C119" s="37" t="s">
        <v>98</v>
      </c>
      <c r="D119" s="22">
        <v>353003233</v>
      </c>
      <c r="E119" s="22" t="s">
        <v>74</v>
      </c>
      <c r="F119" s="48" t="s">
        <v>75</v>
      </c>
      <c r="G119" s="49" t="s">
        <v>76</v>
      </c>
      <c r="H119" s="50">
        <v>2023</v>
      </c>
      <c r="I119" s="334">
        <v>7</v>
      </c>
      <c r="J119" s="338">
        <v>45608</v>
      </c>
      <c r="K119" s="240"/>
      <c r="L119" s="369">
        <v>8.4000000000000005E-2</v>
      </c>
      <c r="M119" s="369">
        <v>0.1157</v>
      </c>
      <c r="N119" s="370">
        <v>3.1699999999999999E-2</v>
      </c>
      <c r="O119" s="371">
        <f t="shared" si="70"/>
        <v>0</v>
      </c>
      <c r="P119" s="370">
        <v>1</v>
      </c>
      <c r="Q119" s="370">
        <f t="shared" si="66"/>
        <v>8.4000000000000005E-2</v>
      </c>
      <c r="R119" s="51">
        <v>580459</v>
      </c>
      <c r="S119" s="33">
        <v>3141161</v>
      </c>
      <c r="T119" s="382">
        <v>396100</v>
      </c>
      <c r="U119" s="382">
        <f t="shared" si="116"/>
        <v>296525.19630000001</v>
      </c>
      <c r="V119" s="22" t="s">
        <v>82</v>
      </c>
      <c r="W119" s="22" t="s">
        <v>78</v>
      </c>
      <c r="X119" s="52">
        <v>1.7</v>
      </c>
      <c r="Y119" s="52" t="s">
        <v>83</v>
      </c>
      <c r="Z119" s="52"/>
      <c r="AA119" s="53"/>
      <c r="AB119" s="392">
        <f t="shared" si="117"/>
        <v>67159.106299999999</v>
      </c>
      <c r="AC119" s="54"/>
      <c r="AD119" s="33">
        <f t="shared" si="118"/>
        <v>986.7802999999999</v>
      </c>
      <c r="AE119" s="48"/>
    </row>
    <row r="120" spans="1:31" s="55" customFormat="1" ht="15.75" customHeight="1">
      <c r="A120" s="56" t="s">
        <v>96</v>
      </c>
      <c r="B120" s="10" t="str">
        <f>VLOOKUP(A120,[1]Sheet1!$A:$B,2,0)</f>
        <v>MODI</v>
      </c>
      <c r="C120" s="37" t="s">
        <v>98</v>
      </c>
      <c r="D120" s="22">
        <v>353003233</v>
      </c>
      <c r="E120" s="22" t="s">
        <v>74</v>
      </c>
      <c r="F120" s="48" t="s">
        <v>75</v>
      </c>
      <c r="G120" s="49" t="s">
        <v>76</v>
      </c>
      <c r="H120" s="50">
        <v>2023</v>
      </c>
      <c r="I120" s="334">
        <v>8</v>
      </c>
      <c r="J120" s="338">
        <v>45608</v>
      </c>
      <c r="K120" s="240"/>
      <c r="L120" s="369">
        <v>8.4000000000000005E-2</v>
      </c>
      <c r="M120" s="369">
        <v>0.1157</v>
      </c>
      <c r="N120" s="370">
        <v>3.1699999999999999E-2</v>
      </c>
      <c r="O120" s="371">
        <f t="shared" si="70"/>
        <v>0</v>
      </c>
      <c r="P120" s="370">
        <v>1</v>
      </c>
      <c r="Q120" s="370">
        <f t="shared" si="66"/>
        <v>8.4000000000000005E-2</v>
      </c>
      <c r="R120" s="51">
        <v>368412</v>
      </c>
      <c r="S120" s="33">
        <v>3509573</v>
      </c>
      <c r="T120" s="382">
        <v>396100</v>
      </c>
      <c r="U120" s="382">
        <f t="shared" ref="U120:U123" si="119">T120-N120*S120</f>
        <v>284846.53590000002</v>
      </c>
      <c r="V120" s="22" t="s">
        <v>82</v>
      </c>
      <c r="W120" s="22" t="s">
        <v>78</v>
      </c>
      <c r="X120" s="52">
        <v>1.7</v>
      </c>
      <c r="Y120" s="52" t="s">
        <v>83</v>
      </c>
      <c r="Z120" s="52"/>
      <c r="AA120" s="53"/>
      <c r="AB120" s="392">
        <f t="shared" ref="AB120:AB123" si="120">M120*R120</f>
        <v>42625.268400000001</v>
      </c>
      <c r="AC120" s="54"/>
      <c r="AD120" s="33">
        <f t="shared" ref="AD120:AD123" si="121">R120*X120/1000</f>
        <v>626.30039999999997</v>
      </c>
      <c r="AE120" s="48"/>
    </row>
    <row r="121" spans="1:31" s="55" customFormat="1" ht="15.75" customHeight="1">
      <c r="A121" s="56" t="s">
        <v>96</v>
      </c>
      <c r="B121" s="10" t="str">
        <f>VLOOKUP(A121,[1]Sheet1!$A:$B,2,0)</f>
        <v>MODI</v>
      </c>
      <c r="C121" s="37" t="s">
        <v>98</v>
      </c>
      <c r="D121" s="22">
        <v>353003233</v>
      </c>
      <c r="E121" s="22" t="s">
        <v>74</v>
      </c>
      <c r="F121" s="48" t="s">
        <v>75</v>
      </c>
      <c r="G121" s="49" t="s">
        <v>76</v>
      </c>
      <c r="H121" s="50">
        <v>2023</v>
      </c>
      <c r="I121" s="334">
        <v>9</v>
      </c>
      <c r="J121" s="338">
        <v>45608</v>
      </c>
      <c r="K121" s="240"/>
      <c r="L121" s="369">
        <v>8.4000000000000005E-2</v>
      </c>
      <c r="M121" s="369">
        <v>0.1157</v>
      </c>
      <c r="N121" s="370">
        <v>3.1699999999999999E-2</v>
      </c>
      <c r="O121" s="371">
        <f t="shared" si="70"/>
        <v>0</v>
      </c>
      <c r="P121" s="370">
        <v>1</v>
      </c>
      <c r="Q121" s="370">
        <f t="shared" si="66"/>
        <v>8.4000000000000005E-2</v>
      </c>
      <c r="R121" s="51">
        <v>646948</v>
      </c>
      <c r="S121" s="33">
        <v>4156521</v>
      </c>
      <c r="T121" s="382">
        <v>396100</v>
      </c>
      <c r="U121" s="382">
        <f t="shared" si="119"/>
        <v>264338.2843</v>
      </c>
      <c r="V121" s="22" t="s">
        <v>82</v>
      </c>
      <c r="W121" s="22" t="s">
        <v>78</v>
      </c>
      <c r="X121" s="52">
        <v>1.7</v>
      </c>
      <c r="Y121" s="52" t="s">
        <v>83</v>
      </c>
      <c r="Z121" s="52"/>
      <c r="AA121" s="53"/>
      <c r="AB121" s="392">
        <f t="shared" si="120"/>
        <v>74851.883600000001</v>
      </c>
      <c r="AC121" s="54"/>
      <c r="AD121" s="33">
        <f t="shared" si="121"/>
        <v>1099.8115999999998</v>
      </c>
      <c r="AE121" s="48"/>
    </row>
    <row r="122" spans="1:31" s="55" customFormat="1" ht="15.75" customHeight="1">
      <c r="A122" s="56" t="s">
        <v>96</v>
      </c>
      <c r="B122" s="10" t="str">
        <f>VLOOKUP(A122,[1]Sheet1!$A:$B,2,0)</f>
        <v>MODI</v>
      </c>
      <c r="C122" s="37" t="s">
        <v>98</v>
      </c>
      <c r="D122" s="22">
        <v>353003233</v>
      </c>
      <c r="E122" s="22" t="s">
        <v>74</v>
      </c>
      <c r="F122" s="48" t="s">
        <v>75</v>
      </c>
      <c r="G122" s="49" t="s">
        <v>76</v>
      </c>
      <c r="H122" s="50">
        <v>2023</v>
      </c>
      <c r="I122" s="334">
        <v>10</v>
      </c>
      <c r="J122" s="338">
        <v>45608</v>
      </c>
      <c r="K122" s="240"/>
      <c r="L122" s="369">
        <v>8.4000000000000005E-2</v>
      </c>
      <c r="M122" s="369">
        <v>0.1157</v>
      </c>
      <c r="N122" s="370">
        <v>3.1699999999999999E-2</v>
      </c>
      <c r="O122" s="371">
        <f t="shared" si="70"/>
        <v>0</v>
      </c>
      <c r="P122" s="370">
        <v>1</v>
      </c>
      <c r="Q122" s="370">
        <f t="shared" si="66"/>
        <v>8.4000000000000005E-2</v>
      </c>
      <c r="R122" s="51">
        <v>193988</v>
      </c>
      <c r="S122" s="33">
        <v>4350509</v>
      </c>
      <c r="T122" s="382">
        <v>396100</v>
      </c>
      <c r="U122" s="382">
        <f t="shared" si="119"/>
        <v>258188.86470000001</v>
      </c>
      <c r="V122" s="22" t="s">
        <v>82</v>
      </c>
      <c r="W122" s="22" t="s">
        <v>78</v>
      </c>
      <c r="X122" s="52">
        <v>1.7</v>
      </c>
      <c r="Y122" s="52" t="s">
        <v>83</v>
      </c>
      <c r="Z122" s="52"/>
      <c r="AA122" s="53"/>
      <c r="AB122" s="392">
        <f t="shared" si="120"/>
        <v>22444.411599999999</v>
      </c>
      <c r="AC122" s="54"/>
      <c r="AD122" s="33">
        <f t="shared" si="121"/>
        <v>329.77959999999996</v>
      </c>
      <c r="AE122" s="48"/>
    </row>
    <row r="123" spans="1:31" s="55" customFormat="1" ht="15.75" customHeight="1">
      <c r="A123" s="56" t="s">
        <v>96</v>
      </c>
      <c r="B123" s="10" t="str">
        <f>VLOOKUP(A123,[1]Sheet1!$A:$B,2,0)</f>
        <v>MODI</v>
      </c>
      <c r="C123" s="37" t="s">
        <v>98</v>
      </c>
      <c r="D123" s="22">
        <v>353003233</v>
      </c>
      <c r="E123" s="22" t="s">
        <v>74</v>
      </c>
      <c r="F123" s="48" t="s">
        <v>75</v>
      </c>
      <c r="G123" s="49" t="s">
        <v>76</v>
      </c>
      <c r="H123" s="50">
        <v>2023</v>
      </c>
      <c r="I123" s="334">
        <v>11</v>
      </c>
      <c r="J123" s="338">
        <v>45608</v>
      </c>
      <c r="K123" s="240"/>
      <c r="L123" s="369">
        <v>8.4000000000000005E-2</v>
      </c>
      <c r="M123" s="369">
        <v>0.1157</v>
      </c>
      <c r="N123" s="370">
        <v>3.1699999999999999E-2</v>
      </c>
      <c r="O123" s="371">
        <f t="shared" si="70"/>
        <v>0</v>
      </c>
      <c r="P123" s="370">
        <v>1</v>
      </c>
      <c r="Q123" s="370">
        <f t="shared" si="66"/>
        <v>8.4000000000000005E-2</v>
      </c>
      <c r="R123" s="51">
        <v>285686</v>
      </c>
      <c r="S123" s="33">
        <v>4636195</v>
      </c>
      <c r="T123" s="382">
        <v>396100</v>
      </c>
      <c r="U123" s="382">
        <f t="shared" si="119"/>
        <v>249132.61850000001</v>
      </c>
      <c r="V123" s="22" t="s">
        <v>82</v>
      </c>
      <c r="W123" s="22" t="s">
        <v>78</v>
      </c>
      <c r="X123" s="52">
        <v>1.7</v>
      </c>
      <c r="Y123" s="52" t="s">
        <v>83</v>
      </c>
      <c r="Z123" s="52"/>
      <c r="AA123" s="53"/>
      <c r="AB123" s="392">
        <f t="shared" si="120"/>
        <v>33053.870199999998</v>
      </c>
      <c r="AC123" s="54"/>
      <c r="AD123" s="33">
        <f t="shared" si="121"/>
        <v>485.6662</v>
      </c>
      <c r="AE123" s="48"/>
    </row>
    <row r="124" spans="1:31" s="55" customFormat="1" ht="15.75" customHeight="1">
      <c r="A124" s="56" t="s">
        <v>96</v>
      </c>
      <c r="B124" s="10" t="str">
        <f>VLOOKUP(A124,[1]Sheet1!$A:$B,2,0)</f>
        <v>MODI</v>
      </c>
      <c r="C124" s="37" t="s">
        <v>98</v>
      </c>
      <c r="D124" s="22">
        <v>353003233</v>
      </c>
      <c r="E124" s="22" t="s">
        <v>74</v>
      </c>
      <c r="F124" s="48" t="s">
        <v>75</v>
      </c>
      <c r="G124" s="49" t="s">
        <v>76</v>
      </c>
      <c r="H124" s="50">
        <v>2023</v>
      </c>
      <c r="I124" s="334">
        <v>12</v>
      </c>
      <c r="J124" s="338">
        <v>45608</v>
      </c>
      <c r="K124" s="240"/>
      <c r="L124" s="369">
        <v>8.4000000000000005E-2</v>
      </c>
      <c r="M124" s="369">
        <v>0.1157</v>
      </c>
      <c r="N124" s="370">
        <v>3.1699999999999999E-2</v>
      </c>
      <c r="O124" s="371">
        <f t="shared" si="70"/>
        <v>0</v>
      </c>
      <c r="P124" s="370">
        <v>1</v>
      </c>
      <c r="Q124" s="370">
        <f t="shared" si="66"/>
        <v>8.4000000000000005E-2</v>
      </c>
      <c r="R124" s="51">
        <v>76500</v>
      </c>
      <c r="S124" s="33">
        <v>4712695</v>
      </c>
      <c r="T124" s="382">
        <v>396100</v>
      </c>
      <c r="U124" s="382">
        <f t="shared" ref="U124:U125" si="122">T124-N124*S124</f>
        <v>246707.56849999999</v>
      </c>
      <c r="V124" s="22" t="s">
        <v>82</v>
      </c>
      <c r="W124" s="22" t="s">
        <v>78</v>
      </c>
      <c r="X124" s="52">
        <v>1.7</v>
      </c>
      <c r="Y124" s="52" t="s">
        <v>83</v>
      </c>
      <c r="Z124" s="52"/>
      <c r="AA124" s="53"/>
      <c r="AB124" s="392">
        <f t="shared" ref="AB124:AB125" si="123">M124*R124</f>
        <v>8851.0499999999993</v>
      </c>
      <c r="AC124" s="54"/>
      <c r="AD124" s="33">
        <f t="shared" ref="AD124:AD125" si="124">R124*X124/1000</f>
        <v>130.05000000000001</v>
      </c>
      <c r="AE124" s="48"/>
    </row>
    <row r="125" spans="1:31" s="55" customFormat="1" ht="15.75" customHeight="1">
      <c r="A125" s="56" t="s">
        <v>96</v>
      </c>
      <c r="B125" s="10" t="str">
        <f>VLOOKUP(A125,[1]Sheet1!$A:$B,2,0)</f>
        <v>MODI</v>
      </c>
      <c r="C125" s="37" t="s">
        <v>99</v>
      </c>
      <c r="D125" s="22">
        <v>353003231</v>
      </c>
      <c r="E125" s="22" t="s">
        <v>74</v>
      </c>
      <c r="F125" s="48" t="s">
        <v>75</v>
      </c>
      <c r="G125" s="49" t="s">
        <v>76</v>
      </c>
      <c r="H125" s="50">
        <v>2023</v>
      </c>
      <c r="I125" s="334">
        <v>1</v>
      </c>
      <c r="J125" s="338">
        <v>45608</v>
      </c>
      <c r="K125" s="240"/>
      <c r="L125" s="369">
        <v>0.2283</v>
      </c>
      <c r="M125" s="369">
        <v>0.26429999999999998</v>
      </c>
      <c r="N125" s="370">
        <v>3.5999999999999997E-2</v>
      </c>
      <c r="O125" s="371">
        <f t="shared" si="70"/>
        <v>0</v>
      </c>
      <c r="P125" s="370">
        <v>1</v>
      </c>
      <c r="Q125" s="370">
        <f t="shared" si="66"/>
        <v>0.2283</v>
      </c>
      <c r="R125" s="51">
        <v>195040</v>
      </c>
      <c r="S125" s="33">
        <v>195040</v>
      </c>
      <c r="T125" s="382">
        <v>450000</v>
      </c>
      <c r="U125" s="382">
        <f t="shared" si="122"/>
        <v>442978.56</v>
      </c>
      <c r="V125" s="22" t="s">
        <v>82</v>
      </c>
      <c r="W125" s="22" t="s">
        <v>78</v>
      </c>
      <c r="X125" s="52">
        <v>3.5</v>
      </c>
      <c r="Y125" s="52" t="s">
        <v>83</v>
      </c>
      <c r="Z125" s="52"/>
      <c r="AA125" s="53"/>
      <c r="AB125" s="392">
        <f t="shared" si="123"/>
        <v>51549.071999999993</v>
      </c>
      <c r="AC125" s="54"/>
      <c r="AD125" s="33">
        <f t="shared" si="124"/>
        <v>682.64</v>
      </c>
      <c r="AE125" s="48"/>
    </row>
    <row r="126" spans="1:31" s="55" customFormat="1" ht="15.75" customHeight="1">
      <c r="A126" s="56" t="s">
        <v>96</v>
      </c>
      <c r="B126" s="10" t="str">
        <f>VLOOKUP(A126,[1]Sheet1!$A:$B,2,0)</f>
        <v>MODI</v>
      </c>
      <c r="C126" s="37" t="s">
        <v>99</v>
      </c>
      <c r="D126" s="22">
        <v>353003231</v>
      </c>
      <c r="E126" s="22" t="s">
        <v>74</v>
      </c>
      <c r="F126" s="48" t="s">
        <v>75</v>
      </c>
      <c r="G126" s="49" t="s">
        <v>76</v>
      </c>
      <c r="H126" s="50">
        <v>2023</v>
      </c>
      <c r="I126" s="334">
        <v>2</v>
      </c>
      <c r="J126" s="338">
        <v>45608</v>
      </c>
      <c r="K126" s="240"/>
      <c r="L126" s="369">
        <v>0.2283</v>
      </c>
      <c r="M126" s="369">
        <v>0.26429999999999998</v>
      </c>
      <c r="N126" s="370">
        <v>3.5999999999999997E-2</v>
      </c>
      <c r="O126" s="371">
        <f t="shared" si="70"/>
        <v>0</v>
      </c>
      <c r="P126" s="370">
        <v>1</v>
      </c>
      <c r="Q126" s="370">
        <f t="shared" si="66"/>
        <v>0.2283</v>
      </c>
      <c r="R126" s="51">
        <v>0</v>
      </c>
      <c r="S126" s="33">
        <v>195040</v>
      </c>
      <c r="T126" s="382">
        <v>450000</v>
      </c>
      <c r="U126" s="382">
        <f t="shared" ref="U126:U127" si="125">T126-N126*S126</f>
        <v>442978.56</v>
      </c>
      <c r="V126" s="22" t="s">
        <v>82</v>
      </c>
      <c r="W126" s="22" t="s">
        <v>78</v>
      </c>
      <c r="X126" s="52">
        <v>3.5</v>
      </c>
      <c r="Y126" s="52" t="s">
        <v>83</v>
      </c>
      <c r="Z126" s="52"/>
      <c r="AA126" s="53"/>
      <c r="AB126" s="392">
        <f t="shared" ref="AB126:AB127" si="126">M126*R126</f>
        <v>0</v>
      </c>
      <c r="AC126" s="54"/>
      <c r="AD126" s="33">
        <f t="shared" ref="AD126:AD127" si="127">R126*X126/1000</f>
        <v>0</v>
      </c>
      <c r="AE126" s="48"/>
    </row>
    <row r="127" spans="1:31" s="55" customFormat="1" ht="15.75" customHeight="1">
      <c r="A127" s="56" t="s">
        <v>96</v>
      </c>
      <c r="B127" s="10" t="str">
        <f>VLOOKUP(A127,[1]Sheet1!$A:$B,2,0)</f>
        <v>MODI</v>
      </c>
      <c r="C127" s="37" t="s">
        <v>99</v>
      </c>
      <c r="D127" s="22">
        <v>353003231</v>
      </c>
      <c r="E127" s="22" t="s">
        <v>74</v>
      </c>
      <c r="F127" s="48" t="s">
        <v>75</v>
      </c>
      <c r="G127" s="49" t="s">
        <v>76</v>
      </c>
      <c r="H127" s="50">
        <v>2023</v>
      </c>
      <c r="I127" s="334">
        <v>3</v>
      </c>
      <c r="J127" s="338">
        <v>45608</v>
      </c>
      <c r="K127" s="240"/>
      <c r="L127" s="369">
        <v>0.2283</v>
      </c>
      <c r="M127" s="369">
        <v>0.26429999999999998</v>
      </c>
      <c r="N127" s="370">
        <v>3.5999999999999997E-2</v>
      </c>
      <c r="O127" s="371">
        <f t="shared" si="70"/>
        <v>0</v>
      </c>
      <c r="P127" s="370">
        <v>1</v>
      </c>
      <c r="Q127" s="370">
        <f t="shared" si="66"/>
        <v>0.2283</v>
      </c>
      <c r="R127" s="51">
        <v>350900</v>
      </c>
      <c r="S127" s="33">
        <v>545940</v>
      </c>
      <c r="T127" s="382">
        <v>450000</v>
      </c>
      <c r="U127" s="382">
        <f t="shared" si="125"/>
        <v>430346.16</v>
      </c>
      <c r="V127" s="22" t="s">
        <v>82</v>
      </c>
      <c r="W127" s="22" t="s">
        <v>78</v>
      </c>
      <c r="X127" s="52">
        <v>3.5</v>
      </c>
      <c r="Y127" s="52" t="s">
        <v>83</v>
      </c>
      <c r="Z127" s="52"/>
      <c r="AA127" s="53"/>
      <c r="AB127" s="392">
        <f t="shared" si="126"/>
        <v>92742.87</v>
      </c>
      <c r="AC127" s="54"/>
      <c r="AD127" s="33">
        <f t="shared" si="127"/>
        <v>1228.1500000000001</v>
      </c>
      <c r="AE127" s="48"/>
    </row>
    <row r="128" spans="1:31" s="55" customFormat="1" ht="15.75" customHeight="1">
      <c r="A128" s="56" t="s">
        <v>96</v>
      </c>
      <c r="B128" s="10" t="str">
        <f>VLOOKUP(A128,[1]Sheet1!$A:$B,2,0)</f>
        <v>MODI</v>
      </c>
      <c r="C128" s="37" t="s">
        <v>99</v>
      </c>
      <c r="D128" s="22">
        <v>353003231</v>
      </c>
      <c r="E128" s="22" t="s">
        <v>74</v>
      </c>
      <c r="F128" s="48" t="s">
        <v>75</v>
      </c>
      <c r="G128" s="49" t="s">
        <v>76</v>
      </c>
      <c r="H128" s="50">
        <v>2023</v>
      </c>
      <c r="I128" s="334">
        <v>4</v>
      </c>
      <c r="J128" s="338">
        <v>45608</v>
      </c>
      <c r="K128" s="240"/>
      <c r="L128" s="369">
        <v>0.2283</v>
      </c>
      <c r="M128" s="369">
        <v>0.26429999999999998</v>
      </c>
      <c r="N128" s="370">
        <v>3.5999999999999997E-2</v>
      </c>
      <c r="O128" s="371">
        <f t="shared" si="70"/>
        <v>0</v>
      </c>
      <c r="P128" s="370">
        <v>1</v>
      </c>
      <c r="Q128" s="370">
        <f t="shared" si="66"/>
        <v>0.2283</v>
      </c>
      <c r="R128" s="51">
        <v>124789</v>
      </c>
      <c r="S128" s="33">
        <v>670729</v>
      </c>
      <c r="T128" s="382">
        <v>450000</v>
      </c>
      <c r="U128" s="382">
        <f t="shared" ref="U128:U131" si="128">T128-N128*S128</f>
        <v>425853.75599999999</v>
      </c>
      <c r="V128" s="22" t="s">
        <v>82</v>
      </c>
      <c r="W128" s="22" t="s">
        <v>78</v>
      </c>
      <c r="X128" s="52">
        <v>3.5</v>
      </c>
      <c r="Y128" s="52" t="s">
        <v>83</v>
      </c>
      <c r="Z128" s="52"/>
      <c r="AA128" s="53"/>
      <c r="AB128" s="392">
        <f t="shared" ref="AB128:AB131" si="129">M128*R128</f>
        <v>32981.7327</v>
      </c>
      <c r="AC128" s="54"/>
      <c r="AD128" s="33">
        <f t="shared" ref="AD128:AD131" si="130">R128*X128/1000</f>
        <v>436.76150000000001</v>
      </c>
      <c r="AE128" s="48"/>
    </row>
    <row r="129" spans="1:31" s="55" customFormat="1" ht="15.75" customHeight="1">
      <c r="A129" s="56" t="s">
        <v>96</v>
      </c>
      <c r="B129" s="10" t="str">
        <f>VLOOKUP(A129,[1]Sheet1!$A:$B,2,0)</f>
        <v>MODI</v>
      </c>
      <c r="C129" s="37" t="s">
        <v>99</v>
      </c>
      <c r="D129" s="22">
        <v>353003231</v>
      </c>
      <c r="E129" s="22" t="s">
        <v>74</v>
      </c>
      <c r="F129" s="48" t="s">
        <v>75</v>
      </c>
      <c r="G129" s="49" t="s">
        <v>76</v>
      </c>
      <c r="H129" s="50">
        <v>2023</v>
      </c>
      <c r="I129" s="334">
        <v>5</v>
      </c>
      <c r="J129" s="338">
        <v>45608</v>
      </c>
      <c r="K129" s="240"/>
      <c r="L129" s="369">
        <v>0.2283</v>
      </c>
      <c r="M129" s="369">
        <v>0.26429999999999998</v>
      </c>
      <c r="N129" s="370">
        <v>3.5999999999999997E-2</v>
      </c>
      <c r="O129" s="371">
        <f t="shared" si="70"/>
        <v>0</v>
      </c>
      <c r="P129" s="370">
        <v>1</v>
      </c>
      <c r="Q129" s="370">
        <f t="shared" si="66"/>
        <v>0.2283</v>
      </c>
      <c r="R129" s="51">
        <v>214580</v>
      </c>
      <c r="S129" s="33">
        <v>885309</v>
      </c>
      <c r="T129" s="382">
        <v>450000</v>
      </c>
      <c r="U129" s="382">
        <f t="shared" si="128"/>
        <v>418128.87599999999</v>
      </c>
      <c r="V129" s="22" t="s">
        <v>82</v>
      </c>
      <c r="W129" s="22" t="s">
        <v>78</v>
      </c>
      <c r="X129" s="52">
        <v>3.5</v>
      </c>
      <c r="Y129" s="52" t="s">
        <v>83</v>
      </c>
      <c r="Z129" s="52"/>
      <c r="AA129" s="53"/>
      <c r="AB129" s="392">
        <f t="shared" si="129"/>
        <v>56713.493999999999</v>
      </c>
      <c r="AC129" s="54"/>
      <c r="AD129" s="33">
        <f t="shared" si="130"/>
        <v>751.03</v>
      </c>
      <c r="AE129" s="48"/>
    </row>
    <row r="130" spans="1:31" s="55" customFormat="1" ht="15.75" customHeight="1">
      <c r="A130" s="56" t="s">
        <v>96</v>
      </c>
      <c r="B130" s="10" t="str">
        <f>VLOOKUP(A130,[1]Sheet1!$A:$B,2,0)</f>
        <v>MODI</v>
      </c>
      <c r="C130" s="37" t="s">
        <v>99</v>
      </c>
      <c r="D130" s="22">
        <v>353003231</v>
      </c>
      <c r="E130" s="22" t="s">
        <v>74</v>
      </c>
      <c r="F130" s="48" t="s">
        <v>75</v>
      </c>
      <c r="G130" s="49" t="s">
        <v>76</v>
      </c>
      <c r="H130" s="50">
        <v>2023</v>
      </c>
      <c r="I130" s="334">
        <v>6</v>
      </c>
      <c r="J130" s="338">
        <v>45608</v>
      </c>
      <c r="K130" s="240"/>
      <c r="L130" s="369">
        <v>0.2283</v>
      </c>
      <c r="M130" s="369">
        <v>0.26429999999999998</v>
      </c>
      <c r="N130" s="370">
        <v>3.5999999999999997E-2</v>
      </c>
      <c r="O130" s="371">
        <f t="shared" si="70"/>
        <v>0</v>
      </c>
      <c r="P130" s="370">
        <v>1</v>
      </c>
      <c r="Q130" s="370">
        <f t="shared" si="66"/>
        <v>0.2283</v>
      </c>
      <c r="R130" s="51">
        <v>477741</v>
      </c>
      <c r="S130" s="33">
        <v>1363050</v>
      </c>
      <c r="T130" s="382">
        <v>450000</v>
      </c>
      <c r="U130" s="382">
        <f t="shared" si="128"/>
        <v>400930.2</v>
      </c>
      <c r="V130" s="22" t="s">
        <v>82</v>
      </c>
      <c r="W130" s="22" t="s">
        <v>78</v>
      </c>
      <c r="X130" s="52">
        <v>3.5</v>
      </c>
      <c r="Y130" s="52" t="s">
        <v>83</v>
      </c>
      <c r="Z130" s="52"/>
      <c r="AA130" s="53"/>
      <c r="AB130" s="392">
        <f t="shared" si="129"/>
        <v>126266.9463</v>
      </c>
      <c r="AC130" s="54"/>
      <c r="AD130" s="33">
        <f t="shared" si="130"/>
        <v>1672.0934999999999</v>
      </c>
      <c r="AE130" s="48"/>
    </row>
    <row r="131" spans="1:31" s="55" customFormat="1" ht="15.75" customHeight="1">
      <c r="A131" s="56" t="s">
        <v>96</v>
      </c>
      <c r="B131" s="10" t="str">
        <f>VLOOKUP(A131,[1]Sheet1!$A:$B,2,0)</f>
        <v>MODI</v>
      </c>
      <c r="C131" s="37" t="s">
        <v>99</v>
      </c>
      <c r="D131" s="22">
        <v>353003231</v>
      </c>
      <c r="E131" s="22" t="s">
        <v>74</v>
      </c>
      <c r="F131" s="48" t="s">
        <v>75</v>
      </c>
      <c r="G131" s="49" t="s">
        <v>76</v>
      </c>
      <c r="H131" s="50">
        <v>2023</v>
      </c>
      <c r="I131" s="334">
        <v>7</v>
      </c>
      <c r="J131" s="338">
        <v>45608</v>
      </c>
      <c r="K131" s="240"/>
      <c r="L131" s="369">
        <v>0.2283</v>
      </c>
      <c r="M131" s="369">
        <v>0.26429999999999998</v>
      </c>
      <c r="N131" s="370">
        <v>3.5999999999999997E-2</v>
      </c>
      <c r="O131" s="371">
        <f t="shared" si="70"/>
        <v>0</v>
      </c>
      <c r="P131" s="370">
        <v>1</v>
      </c>
      <c r="Q131" s="370">
        <f t="shared" si="66"/>
        <v>0.2283</v>
      </c>
      <c r="R131" s="51">
        <v>307458</v>
      </c>
      <c r="S131" s="33">
        <v>1670508</v>
      </c>
      <c r="T131" s="382">
        <v>450000</v>
      </c>
      <c r="U131" s="382">
        <f t="shared" si="128"/>
        <v>389861.712</v>
      </c>
      <c r="V131" s="22" t="s">
        <v>82</v>
      </c>
      <c r="W131" s="22" t="s">
        <v>78</v>
      </c>
      <c r="X131" s="52">
        <v>3.5</v>
      </c>
      <c r="Y131" s="52" t="s">
        <v>83</v>
      </c>
      <c r="Z131" s="52"/>
      <c r="AA131" s="53"/>
      <c r="AB131" s="392">
        <f t="shared" si="129"/>
        <v>81261.149399999995</v>
      </c>
      <c r="AC131" s="54"/>
      <c r="AD131" s="33">
        <f t="shared" si="130"/>
        <v>1076.1030000000001</v>
      </c>
      <c r="AE131" s="48"/>
    </row>
    <row r="132" spans="1:31" s="55" customFormat="1" ht="15.75" customHeight="1">
      <c r="A132" s="56" t="s">
        <v>96</v>
      </c>
      <c r="B132" s="10" t="str">
        <f>VLOOKUP(A132,[1]Sheet1!$A:$B,2,0)</f>
        <v>MODI</v>
      </c>
      <c r="C132" s="37" t="s">
        <v>99</v>
      </c>
      <c r="D132" s="22">
        <v>353003231</v>
      </c>
      <c r="E132" s="22" t="s">
        <v>74</v>
      </c>
      <c r="F132" s="48" t="s">
        <v>75</v>
      </c>
      <c r="G132" s="49" t="s">
        <v>76</v>
      </c>
      <c r="H132" s="50">
        <v>2023</v>
      </c>
      <c r="I132" s="334">
        <v>8</v>
      </c>
      <c r="J132" s="338">
        <v>45608</v>
      </c>
      <c r="K132" s="240"/>
      <c r="L132" s="369">
        <v>0.2283</v>
      </c>
      <c r="M132" s="369">
        <v>0.26429999999999998</v>
      </c>
      <c r="N132" s="370">
        <v>3.5999999999999997E-2</v>
      </c>
      <c r="O132" s="371">
        <f t="shared" si="70"/>
        <v>0</v>
      </c>
      <c r="P132" s="370">
        <v>1</v>
      </c>
      <c r="Q132" s="370">
        <f t="shared" si="66"/>
        <v>0.2283</v>
      </c>
      <c r="R132" s="51">
        <v>84655</v>
      </c>
      <c r="S132" s="33">
        <v>1755163</v>
      </c>
      <c r="T132" s="382">
        <v>450000</v>
      </c>
      <c r="U132" s="382">
        <f t="shared" ref="U132:U135" si="131">T132-N132*S132</f>
        <v>386814.13199999998</v>
      </c>
      <c r="V132" s="22" t="s">
        <v>82</v>
      </c>
      <c r="W132" s="22" t="s">
        <v>78</v>
      </c>
      <c r="X132" s="52">
        <v>3.5</v>
      </c>
      <c r="Y132" s="52" t="s">
        <v>83</v>
      </c>
      <c r="Z132" s="52"/>
      <c r="AA132" s="53"/>
      <c r="AB132" s="392">
        <f t="shared" ref="AB132:AB135" si="132">M132*R132</f>
        <v>22374.316499999997</v>
      </c>
      <c r="AC132" s="54"/>
      <c r="AD132" s="33">
        <f t="shared" ref="AD132:AD135" si="133">R132*X132/1000</f>
        <v>296.29250000000002</v>
      </c>
      <c r="AE132" s="48"/>
    </row>
    <row r="133" spans="1:31" s="55" customFormat="1" ht="15.75" customHeight="1">
      <c r="A133" s="56" t="s">
        <v>96</v>
      </c>
      <c r="B133" s="10" t="str">
        <f>VLOOKUP(A133,[1]Sheet1!$A:$B,2,0)</f>
        <v>MODI</v>
      </c>
      <c r="C133" s="37" t="s">
        <v>99</v>
      </c>
      <c r="D133" s="22">
        <v>353003231</v>
      </c>
      <c r="E133" s="22" t="s">
        <v>74</v>
      </c>
      <c r="F133" s="48" t="s">
        <v>75</v>
      </c>
      <c r="G133" s="49" t="s">
        <v>76</v>
      </c>
      <c r="H133" s="50">
        <v>2023</v>
      </c>
      <c r="I133" s="334">
        <v>9</v>
      </c>
      <c r="J133" s="338">
        <v>45608</v>
      </c>
      <c r="K133" s="240"/>
      <c r="L133" s="369">
        <v>0.2283</v>
      </c>
      <c r="M133" s="369">
        <v>0.26429999999999998</v>
      </c>
      <c r="N133" s="370">
        <v>3.5999999999999997E-2</v>
      </c>
      <c r="O133" s="371">
        <f t="shared" si="70"/>
        <v>0</v>
      </c>
      <c r="P133" s="370">
        <v>1</v>
      </c>
      <c r="Q133" s="370">
        <f t="shared" ref="Q133:Q196" si="134">P133*L133</f>
        <v>0.2283</v>
      </c>
      <c r="R133" s="51">
        <v>169044</v>
      </c>
      <c r="S133" s="33">
        <v>1924207</v>
      </c>
      <c r="T133" s="382">
        <v>450000</v>
      </c>
      <c r="U133" s="382">
        <f t="shared" si="131"/>
        <v>380728.54800000001</v>
      </c>
      <c r="V133" s="22" t="s">
        <v>82</v>
      </c>
      <c r="W133" s="22" t="s">
        <v>78</v>
      </c>
      <c r="X133" s="52">
        <v>3.5</v>
      </c>
      <c r="Y133" s="52" t="s">
        <v>83</v>
      </c>
      <c r="Z133" s="52"/>
      <c r="AA133" s="53"/>
      <c r="AB133" s="392">
        <f t="shared" si="132"/>
        <v>44678.3292</v>
      </c>
      <c r="AC133" s="54"/>
      <c r="AD133" s="33">
        <f t="shared" si="133"/>
        <v>591.654</v>
      </c>
      <c r="AE133" s="48"/>
    </row>
    <row r="134" spans="1:31" s="55" customFormat="1" ht="15.75" customHeight="1">
      <c r="A134" s="56" t="s">
        <v>96</v>
      </c>
      <c r="B134" s="10" t="str">
        <f>VLOOKUP(A134,[1]Sheet1!$A:$B,2,0)</f>
        <v>MODI</v>
      </c>
      <c r="C134" s="37" t="s">
        <v>99</v>
      </c>
      <c r="D134" s="22">
        <v>353003231</v>
      </c>
      <c r="E134" s="22" t="s">
        <v>74</v>
      </c>
      <c r="F134" s="48" t="s">
        <v>75</v>
      </c>
      <c r="G134" s="49" t="s">
        <v>76</v>
      </c>
      <c r="H134" s="50">
        <v>2023</v>
      </c>
      <c r="I134" s="334">
        <v>10</v>
      </c>
      <c r="J134" s="338">
        <v>45608</v>
      </c>
      <c r="K134" s="240"/>
      <c r="L134" s="369">
        <v>0.2283</v>
      </c>
      <c r="M134" s="369">
        <v>0.26429999999999998</v>
      </c>
      <c r="N134" s="370">
        <v>3.5999999999999997E-2</v>
      </c>
      <c r="O134" s="371">
        <f t="shared" si="70"/>
        <v>0</v>
      </c>
      <c r="P134" s="370">
        <v>1</v>
      </c>
      <c r="Q134" s="370">
        <f t="shared" si="134"/>
        <v>0.2283</v>
      </c>
      <c r="R134" s="51">
        <v>110990</v>
      </c>
      <c r="S134" s="33">
        <v>2035197</v>
      </c>
      <c r="T134" s="382">
        <v>450000</v>
      </c>
      <c r="U134" s="382">
        <f t="shared" si="131"/>
        <v>376732.908</v>
      </c>
      <c r="V134" s="22" t="s">
        <v>82</v>
      </c>
      <c r="W134" s="22" t="s">
        <v>78</v>
      </c>
      <c r="X134" s="52">
        <v>3.5</v>
      </c>
      <c r="Y134" s="52" t="s">
        <v>83</v>
      </c>
      <c r="Z134" s="52"/>
      <c r="AA134" s="53"/>
      <c r="AB134" s="392">
        <f t="shared" si="132"/>
        <v>29334.656999999999</v>
      </c>
      <c r="AC134" s="54"/>
      <c r="AD134" s="33">
        <f t="shared" si="133"/>
        <v>388.46499999999997</v>
      </c>
      <c r="AE134" s="48"/>
    </row>
    <row r="135" spans="1:31" s="55" customFormat="1" ht="15.75" customHeight="1">
      <c r="A135" s="56" t="s">
        <v>96</v>
      </c>
      <c r="B135" s="10" t="str">
        <f>VLOOKUP(A135,[1]Sheet1!$A:$B,2,0)</f>
        <v>MODI</v>
      </c>
      <c r="C135" s="37" t="s">
        <v>99</v>
      </c>
      <c r="D135" s="22">
        <v>353003231</v>
      </c>
      <c r="E135" s="22" t="s">
        <v>74</v>
      </c>
      <c r="F135" s="48" t="s">
        <v>75</v>
      </c>
      <c r="G135" s="49" t="s">
        <v>76</v>
      </c>
      <c r="H135" s="50">
        <v>2023</v>
      </c>
      <c r="I135" s="334">
        <v>11</v>
      </c>
      <c r="J135" s="338">
        <v>45608</v>
      </c>
      <c r="K135" s="240"/>
      <c r="L135" s="369">
        <v>0.2283</v>
      </c>
      <c r="M135" s="369">
        <v>0.26429999999999998</v>
      </c>
      <c r="N135" s="370">
        <v>3.5999999999999997E-2</v>
      </c>
      <c r="O135" s="371">
        <f t="shared" si="70"/>
        <v>0</v>
      </c>
      <c r="P135" s="370">
        <v>1</v>
      </c>
      <c r="Q135" s="370">
        <f t="shared" si="134"/>
        <v>0.2283</v>
      </c>
      <c r="R135" s="51">
        <v>111901</v>
      </c>
      <c r="S135" s="33">
        <v>2147098</v>
      </c>
      <c r="T135" s="382">
        <v>450000</v>
      </c>
      <c r="U135" s="382">
        <f t="shared" si="131"/>
        <v>372704.47200000001</v>
      </c>
      <c r="V135" s="22" t="s">
        <v>82</v>
      </c>
      <c r="W135" s="22" t="s">
        <v>78</v>
      </c>
      <c r="X135" s="52">
        <v>3.5</v>
      </c>
      <c r="Y135" s="52" t="s">
        <v>83</v>
      </c>
      <c r="Z135" s="52"/>
      <c r="AA135" s="53"/>
      <c r="AB135" s="392">
        <f t="shared" si="132"/>
        <v>29575.434299999997</v>
      </c>
      <c r="AC135" s="54"/>
      <c r="AD135" s="33">
        <f t="shared" si="133"/>
        <v>391.65350000000001</v>
      </c>
      <c r="AE135" s="48"/>
    </row>
    <row r="136" spans="1:31" s="55" customFormat="1" ht="15.75" customHeight="1">
      <c r="A136" s="56" t="s">
        <v>96</v>
      </c>
      <c r="B136" s="10" t="str">
        <f>VLOOKUP(A136,[1]Sheet1!$A:$B,2,0)</f>
        <v>MODI</v>
      </c>
      <c r="C136" s="37" t="s">
        <v>99</v>
      </c>
      <c r="D136" s="22">
        <v>353003231</v>
      </c>
      <c r="E136" s="22" t="s">
        <v>74</v>
      </c>
      <c r="F136" s="48" t="s">
        <v>75</v>
      </c>
      <c r="G136" s="49" t="s">
        <v>76</v>
      </c>
      <c r="H136" s="50">
        <v>2023</v>
      </c>
      <c r="I136" s="334">
        <v>12</v>
      </c>
      <c r="J136" s="338">
        <v>45608</v>
      </c>
      <c r="K136" s="240"/>
      <c r="L136" s="369">
        <v>0.2283</v>
      </c>
      <c r="M136" s="369">
        <v>0.26429999999999998</v>
      </c>
      <c r="N136" s="370">
        <v>3.5999999999999997E-2</v>
      </c>
      <c r="O136" s="371">
        <f t="shared" ref="O136:O199" si="135">K136*N136</f>
        <v>0</v>
      </c>
      <c r="P136" s="370">
        <v>1</v>
      </c>
      <c r="Q136" s="370">
        <f t="shared" si="134"/>
        <v>0.2283</v>
      </c>
      <c r="R136" s="51">
        <v>66780</v>
      </c>
      <c r="S136" s="33">
        <v>2213878</v>
      </c>
      <c r="T136" s="382">
        <v>450000</v>
      </c>
      <c r="U136" s="382">
        <f t="shared" ref="U136" si="136">T136-N136*S136</f>
        <v>370300.39199999999</v>
      </c>
      <c r="V136" s="22" t="s">
        <v>82</v>
      </c>
      <c r="W136" s="22" t="s">
        <v>78</v>
      </c>
      <c r="X136" s="52">
        <v>3.5</v>
      </c>
      <c r="Y136" s="52" t="s">
        <v>83</v>
      </c>
      <c r="Z136" s="52"/>
      <c r="AA136" s="53"/>
      <c r="AB136" s="392">
        <f t="shared" ref="AB136" si="137">M136*R136</f>
        <v>17649.953999999998</v>
      </c>
      <c r="AC136" s="54"/>
      <c r="AD136" s="33">
        <f t="shared" ref="AD136" si="138">R136*X136/1000</f>
        <v>233.73</v>
      </c>
      <c r="AE136" s="48"/>
    </row>
    <row r="137" spans="1:31" s="36" customFormat="1" ht="15.75" customHeight="1">
      <c r="A137" s="18" t="s">
        <v>96</v>
      </c>
      <c r="B137" s="10" t="str">
        <f>VLOOKUP(A137,[1]Sheet1!$A:$B,2,0)</f>
        <v>MODI</v>
      </c>
      <c r="C137" s="37" t="s">
        <v>97</v>
      </c>
      <c r="D137" s="6">
        <v>353003232</v>
      </c>
      <c r="E137" s="6" t="s">
        <v>74</v>
      </c>
      <c r="F137" s="10" t="s">
        <v>75</v>
      </c>
      <c r="G137" s="39" t="s">
        <v>76</v>
      </c>
      <c r="H137" s="40">
        <v>2024</v>
      </c>
      <c r="I137" s="334">
        <v>1</v>
      </c>
      <c r="J137" s="338">
        <v>45608</v>
      </c>
      <c r="K137" s="240"/>
      <c r="L137" s="400">
        <v>0.5</v>
      </c>
      <c r="M137" s="400">
        <v>0.56640000000000001</v>
      </c>
      <c r="N137" s="405">
        <v>6.6400000000000001E-2</v>
      </c>
      <c r="O137" s="371">
        <f t="shared" si="135"/>
        <v>0</v>
      </c>
      <c r="P137" s="370">
        <v>1</v>
      </c>
      <c r="Q137" s="370">
        <f t="shared" si="134"/>
        <v>0.5</v>
      </c>
      <c r="R137" s="23">
        <v>131864</v>
      </c>
      <c r="S137" s="33">
        <v>5690195</v>
      </c>
      <c r="T137" s="382">
        <v>830000</v>
      </c>
      <c r="U137" s="382">
        <f t="shared" si="46"/>
        <v>452171.05200000003</v>
      </c>
      <c r="V137" s="6" t="s">
        <v>82</v>
      </c>
      <c r="W137" s="22" t="s">
        <v>78</v>
      </c>
      <c r="X137" s="27">
        <v>8</v>
      </c>
      <c r="Y137" s="27" t="s">
        <v>83</v>
      </c>
      <c r="Z137" s="27"/>
      <c r="AA137" s="16"/>
      <c r="AB137" s="393">
        <f t="shared" si="47"/>
        <v>74687.7696</v>
      </c>
      <c r="AC137" s="17"/>
      <c r="AD137" s="15">
        <f t="shared" si="45"/>
        <v>1054.912</v>
      </c>
      <c r="AE137" s="10"/>
    </row>
    <row r="138" spans="1:31" s="36" customFormat="1" ht="15.75" customHeight="1">
      <c r="A138" s="18" t="s">
        <v>96</v>
      </c>
      <c r="B138" s="10" t="str">
        <f>VLOOKUP(A138,[1]Sheet1!$A:$B,2,0)</f>
        <v>MODI</v>
      </c>
      <c r="C138" s="37" t="s">
        <v>98</v>
      </c>
      <c r="D138" s="6">
        <v>353003233</v>
      </c>
      <c r="E138" s="6" t="s">
        <v>74</v>
      </c>
      <c r="F138" s="10" t="s">
        <v>75</v>
      </c>
      <c r="G138" s="39" t="s">
        <v>76</v>
      </c>
      <c r="H138" s="40">
        <v>2024</v>
      </c>
      <c r="I138" s="334">
        <v>1</v>
      </c>
      <c r="J138" s="338">
        <v>45608</v>
      </c>
      <c r="K138" s="240"/>
      <c r="L138" s="400">
        <v>8.4000000000000005E-2</v>
      </c>
      <c r="M138" s="400">
        <v>0.1157</v>
      </c>
      <c r="N138" s="405">
        <v>3.1699999999999999E-2</v>
      </c>
      <c r="O138" s="371">
        <f t="shared" si="135"/>
        <v>0</v>
      </c>
      <c r="P138" s="370">
        <v>1</v>
      </c>
      <c r="Q138" s="370">
        <f t="shared" si="134"/>
        <v>8.4000000000000005E-2</v>
      </c>
      <c r="R138" s="23">
        <v>141470</v>
      </c>
      <c r="S138" s="33">
        <v>6957962</v>
      </c>
      <c r="T138" s="382">
        <v>396100</v>
      </c>
      <c r="U138" s="382">
        <f t="shared" si="46"/>
        <v>175532.60460000002</v>
      </c>
      <c r="V138" s="6" t="s">
        <v>82</v>
      </c>
      <c r="W138" s="22" t="s">
        <v>78</v>
      </c>
      <c r="X138" s="27">
        <v>1.7</v>
      </c>
      <c r="Y138" s="27" t="s">
        <v>83</v>
      </c>
      <c r="Z138" s="27"/>
      <c r="AA138" s="16"/>
      <c r="AB138" s="393">
        <f t="shared" si="47"/>
        <v>16368.079</v>
      </c>
      <c r="AC138" s="17"/>
      <c r="AD138" s="15">
        <f t="shared" si="45"/>
        <v>240.499</v>
      </c>
      <c r="AE138" s="10"/>
    </row>
    <row r="139" spans="1:31" s="36" customFormat="1" ht="15.75" customHeight="1">
      <c r="A139" s="18" t="s">
        <v>96</v>
      </c>
      <c r="B139" s="10" t="str">
        <f>VLOOKUP(A139,[1]Sheet1!$A:$B,2,0)</f>
        <v>MODI</v>
      </c>
      <c r="C139" s="37" t="s">
        <v>99</v>
      </c>
      <c r="D139" s="6">
        <v>353003231</v>
      </c>
      <c r="E139" s="6" t="s">
        <v>74</v>
      </c>
      <c r="F139" s="10" t="s">
        <v>75</v>
      </c>
      <c r="G139" s="39" t="s">
        <v>76</v>
      </c>
      <c r="H139" s="40">
        <v>2024</v>
      </c>
      <c r="I139" s="334">
        <v>1</v>
      </c>
      <c r="J139" s="338">
        <v>45608</v>
      </c>
      <c r="K139" s="240"/>
      <c r="L139" s="400">
        <v>0.2283</v>
      </c>
      <c r="M139" s="400">
        <v>0.26429999999999998</v>
      </c>
      <c r="N139" s="405">
        <v>3.5999999999999997E-2</v>
      </c>
      <c r="O139" s="371">
        <f t="shared" si="135"/>
        <v>0</v>
      </c>
      <c r="P139" s="370">
        <v>1</v>
      </c>
      <c r="Q139" s="370">
        <f t="shared" si="134"/>
        <v>0.2283</v>
      </c>
      <c r="R139" s="23">
        <v>86364</v>
      </c>
      <c r="S139" s="33">
        <v>3864428</v>
      </c>
      <c r="T139" s="382">
        <v>450000</v>
      </c>
      <c r="U139" s="382">
        <f t="shared" si="46"/>
        <v>310880.592</v>
      </c>
      <c r="V139" s="6" t="s">
        <v>82</v>
      </c>
      <c r="W139" s="22" t="s">
        <v>78</v>
      </c>
      <c r="X139" s="27">
        <v>3.5</v>
      </c>
      <c r="Y139" s="27" t="s">
        <v>83</v>
      </c>
      <c r="Z139" s="27"/>
      <c r="AA139" s="16"/>
      <c r="AB139" s="393">
        <f t="shared" si="47"/>
        <v>22826.0052</v>
      </c>
      <c r="AC139" s="17"/>
      <c r="AD139" s="15">
        <f t="shared" si="45"/>
        <v>302.274</v>
      </c>
      <c r="AE139" s="10"/>
    </row>
    <row r="140" spans="1:31" s="36" customFormat="1" ht="15.75" customHeight="1">
      <c r="A140" s="18" t="s">
        <v>96</v>
      </c>
      <c r="B140" s="10" t="str">
        <f>VLOOKUP(A140,[1]Sheet1!$A:$B,2,0)</f>
        <v>MODI</v>
      </c>
      <c r="C140" s="37" t="s">
        <v>97</v>
      </c>
      <c r="D140" s="6">
        <v>353003232</v>
      </c>
      <c r="E140" s="6" t="s">
        <v>74</v>
      </c>
      <c r="F140" s="10" t="s">
        <v>75</v>
      </c>
      <c r="G140" s="39" t="s">
        <v>76</v>
      </c>
      <c r="H140" s="40">
        <v>2024</v>
      </c>
      <c r="I140" s="334">
        <v>2</v>
      </c>
      <c r="J140" s="338">
        <v>45608</v>
      </c>
      <c r="K140" s="240"/>
      <c r="L140" s="400">
        <v>0.5</v>
      </c>
      <c r="M140" s="400">
        <v>0.56640000000000001</v>
      </c>
      <c r="N140" s="405">
        <v>6.6400000000000001E-2</v>
      </c>
      <c r="O140" s="371">
        <f t="shared" si="135"/>
        <v>0</v>
      </c>
      <c r="P140" s="370">
        <v>1</v>
      </c>
      <c r="Q140" s="370">
        <f t="shared" si="134"/>
        <v>0.5</v>
      </c>
      <c r="R140" s="23">
        <v>21060</v>
      </c>
      <c r="S140" s="33">
        <v>5711255</v>
      </c>
      <c r="T140" s="382">
        <v>830000</v>
      </c>
      <c r="U140" s="382">
        <f t="shared" si="46"/>
        <v>450772.66800000001</v>
      </c>
      <c r="V140" s="6" t="s">
        <v>82</v>
      </c>
      <c r="W140" s="22" t="s">
        <v>78</v>
      </c>
      <c r="X140" s="27">
        <v>8</v>
      </c>
      <c r="Y140" s="27" t="s">
        <v>83</v>
      </c>
      <c r="Z140" s="27"/>
      <c r="AA140" s="16"/>
      <c r="AB140" s="393">
        <f t="shared" si="47"/>
        <v>11928.384</v>
      </c>
      <c r="AC140" s="17"/>
      <c r="AD140" s="15">
        <f t="shared" si="45"/>
        <v>168.48</v>
      </c>
      <c r="AE140" s="10"/>
    </row>
    <row r="141" spans="1:31" s="36" customFormat="1" ht="15.75" customHeight="1">
      <c r="A141" s="18" t="s">
        <v>96</v>
      </c>
      <c r="B141" s="10" t="str">
        <f>VLOOKUP(A141,[1]Sheet1!$A:$B,2,0)</f>
        <v>MODI</v>
      </c>
      <c r="C141" s="37" t="s">
        <v>98</v>
      </c>
      <c r="D141" s="6">
        <v>353003233</v>
      </c>
      <c r="E141" s="6" t="s">
        <v>74</v>
      </c>
      <c r="F141" s="10" t="s">
        <v>75</v>
      </c>
      <c r="G141" s="39" t="s">
        <v>76</v>
      </c>
      <c r="H141" s="40">
        <v>2024</v>
      </c>
      <c r="I141" s="334">
        <v>2</v>
      </c>
      <c r="J141" s="338">
        <v>45608</v>
      </c>
      <c r="K141" s="240"/>
      <c r="L141" s="400">
        <v>8.4000000000000005E-2</v>
      </c>
      <c r="M141" s="400">
        <v>0.1157</v>
      </c>
      <c r="N141" s="405">
        <v>3.1699999999999999E-2</v>
      </c>
      <c r="O141" s="371">
        <f t="shared" si="135"/>
        <v>0</v>
      </c>
      <c r="P141" s="370">
        <v>1</v>
      </c>
      <c r="Q141" s="370">
        <f t="shared" si="134"/>
        <v>8.4000000000000005E-2</v>
      </c>
      <c r="R141" s="23">
        <v>93555</v>
      </c>
      <c r="S141" s="33">
        <v>7051517</v>
      </c>
      <c r="T141" s="382">
        <v>396100</v>
      </c>
      <c r="U141" s="382">
        <f t="shared" si="46"/>
        <v>172566.9111</v>
      </c>
      <c r="V141" s="6" t="s">
        <v>82</v>
      </c>
      <c r="W141" s="22" t="s">
        <v>78</v>
      </c>
      <c r="X141" s="27">
        <v>1.7</v>
      </c>
      <c r="Y141" s="27" t="s">
        <v>83</v>
      </c>
      <c r="Z141" s="27"/>
      <c r="AA141" s="16"/>
      <c r="AB141" s="393">
        <f t="shared" si="47"/>
        <v>10824.3135</v>
      </c>
      <c r="AC141" s="17"/>
      <c r="AD141" s="15">
        <f t="shared" si="45"/>
        <v>159.04349999999999</v>
      </c>
      <c r="AE141" s="10"/>
    </row>
    <row r="142" spans="1:31" s="36" customFormat="1" ht="15.75" customHeight="1">
      <c r="A142" s="18" t="s">
        <v>96</v>
      </c>
      <c r="B142" s="10" t="str">
        <f>VLOOKUP(A142,[1]Sheet1!$A:$B,2,0)</f>
        <v>MODI</v>
      </c>
      <c r="C142" s="37" t="s">
        <v>99</v>
      </c>
      <c r="D142" s="6">
        <v>353003231</v>
      </c>
      <c r="E142" s="6" t="s">
        <v>74</v>
      </c>
      <c r="F142" s="10" t="s">
        <v>75</v>
      </c>
      <c r="G142" s="39" t="s">
        <v>76</v>
      </c>
      <c r="H142" s="40">
        <v>2024</v>
      </c>
      <c r="I142" s="334">
        <v>2</v>
      </c>
      <c r="J142" s="338">
        <v>45608</v>
      </c>
      <c r="K142" s="240"/>
      <c r="L142" s="400">
        <v>0.2283</v>
      </c>
      <c r="M142" s="400">
        <v>0.26429999999999998</v>
      </c>
      <c r="N142" s="405">
        <v>3.5999999999999997E-2</v>
      </c>
      <c r="O142" s="371">
        <f t="shared" si="135"/>
        <v>0</v>
      </c>
      <c r="P142" s="370">
        <v>1</v>
      </c>
      <c r="Q142" s="370">
        <f t="shared" si="134"/>
        <v>0.2283</v>
      </c>
      <c r="R142" s="23">
        <v>48120</v>
      </c>
      <c r="S142" s="33">
        <v>3912548</v>
      </c>
      <c r="T142" s="382">
        <v>450000</v>
      </c>
      <c r="U142" s="382">
        <f t="shared" si="46"/>
        <v>309148.272</v>
      </c>
      <c r="V142" s="6" t="s">
        <v>82</v>
      </c>
      <c r="W142" s="22" t="s">
        <v>78</v>
      </c>
      <c r="X142" s="27">
        <v>3.5</v>
      </c>
      <c r="Y142" s="27" t="s">
        <v>83</v>
      </c>
      <c r="Z142" s="27"/>
      <c r="AA142" s="16"/>
      <c r="AB142" s="393">
        <f t="shared" si="47"/>
        <v>12718.115999999998</v>
      </c>
      <c r="AC142" s="17"/>
      <c r="AD142" s="15">
        <f t="shared" si="45"/>
        <v>168.42</v>
      </c>
      <c r="AE142" s="10"/>
    </row>
    <row r="143" spans="1:31" s="36" customFormat="1" ht="15.75" customHeight="1">
      <c r="A143" s="18" t="s">
        <v>96</v>
      </c>
      <c r="B143" s="10" t="str">
        <f>VLOOKUP(A143,[1]Sheet1!$A:$B,2,0)</f>
        <v>MODI</v>
      </c>
      <c r="C143" s="37" t="s">
        <v>97</v>
      </c>
      <c r="D143" s="6">
        <v>353003232</v>
      </c>
      <c r="E143" s="6" t="s">
        <v>74</v>
      </c>
      <c r="F143" s="10" t="s">
        <v>75</v>
      </c>
      <c r="G143" s="39" t="s">
        <v>76</v>
      </c>
      <c r="H143" s="40">
        <v>2024</v>
      </c>
      <c r="I143" s="334">
        <v>3</v>
      </c>
      <c r="J143" s="338">
        <v>45608</v>
      </c>
      <c r="K143" s="240"/>
      <c r="L143" s="400">
        <v>0.5</v>
      </c>
      <c r="M143" s="400">
        <v>0.56640000000000001</v>
      </c>
      <c r="N143" s="405">
        <v>6.6400000000000001E-2</v>
      </c>
      <c r="O143" s="371">
        <f t="shared" si="135"/>
        <v>0</v>
      </c>
      <c r="P143" s="370">
        <v>1</v>
      </c>
      <c r="Q143" s="370">
        <f t="shared" si="134"/>
        <v>0.5</v>
      </c>
      <c r="R143" s="23">
        <v>305279</v>
      </c>
      <c r="S143" s="33">
        <v>6016534</v>
      </c>
      <c r="T143" s="382">
        <v>830000</v>
      </c>
      <c r="U143" s="382">
        <f t="shared" si="46"/>
        <v>430502.14240000001</v>
      </c>
      <c r="V143" s="6" t="s">
        <v>82</v>
      </c>
      <c r="W143" s="22" t="s">
        <v>78</v>
      </c>
      <c r="X143" s="27">
        <v>8</v>
      </c>
      <c r="Y143" s="27" t="s">
        <v>83</v>
      </c>
      <c r="Z143" s="27"/>
      <c r="AA143" s="16"/>
      <c r="AB143" s="393">
        <f t="shared" si="47"/>
        <v>172910.02559999999</v>
      </c>
      <c r="AC143" s="17"/>
      <c r="AD143" s="15">
        <f t="shared" si="45"/>
        <v>2442.232</v>
      </c>
      <c r="AE143" s="10"/>
    </row>
    <row r="144" spans="1:31" s="36" customFormat="1" ht="15.75" customHeight="1">
      <c r="A144" s="18" t="s">
        <v>96</v>
      </c>
      <c r="B144" s="10" t="str">
        <f>VLOOKUP(A144,[1]Sheet1!$A:$B,2,0)</f>
        <v>MODI</v>
      </c>
      <c r="C144" s="37" t="s">
        <v>98</v>
      </c>
      <c r="D144" s="6">
        <v>353003233</v>
      </c>
      <c r="E144" s="6" t="s">
        <v>74</v>
      </c>
      <c r="F144" s="10" t="s">
        <v>75</v>
      </c>
      <c r="G144" s="39" t="s">
        <v>76</v>
      </c>
      <c r="H144" s="40">
        <v>2024</v>
      </c>
      <c r="I144" s="334">
        <v>3</v>
      </c>
      <c r="J144" s="338">
        <v>45608</v>
      </c>
      <c r="K144" s="240"/>
      <c r="L144" s="400">
        <v>8.4000000000000005E-2</v>
      </c>
      <c r="M144" s="400">
        <v>0.1157</v>
      </c>
      <c r="N144" s="405">
        <v>3.1699999999999999E-2</v>
      </c>
      <c r="O144" s="371">
        <f t="shared" si="135"/>
        <v>0</v>
      </c>
      <c r="P144" s="370">
        <v>1</v>
      </c>
      <c r="Q144" s="370">
        <f t="shared" si="134"/>
        <v>8.4000000000000005E-2</v>
      </c>
      <c r="R144" s="23">
        <v>231350</v>
      </c>
      <c r="S144" s="33">
        <v>7282867</v>
      </c>
      <c r="T144" s="382">
        <v>396100</v>
      </c>
      <c r="U144" s="382">
        <f t="shared" si="46"/>
        <v>165233.11610000001</v>
      </c>
      <c r="V144" s="6" t="s">
        <v>82</v>
      </c>
      <c r="W144" s="22" t="s">
        <v>78</v>
      </c>
      <c r="X144" s="27">
        <v>1.7</v>
      </c>
      <c r="Y144" s="27" t="s">
        <v>83</v>
      </c>
      <c r="Z144" s="27"/>
      <c r="AA144" s="16"/>
      <c r="AB144" s="393">
        <f t="shared" si="47"/>
        <v>26767.195</v>
      </c>
      <c r="AC144" s="17"/>
      <c r="AD144" s="15">
        <f t="shared" si="45"/>
        <v>393.29500000000002</v>
      </c>
      <c r="AE144" s="10"/>
    </row>
    <row r="145" spans="1:31" s="36" customFormat="1" ht="15.75" customHeight="1">
      <c r="A145" s="18" t="s">
        <v>96</v>
      </c>
      <c r="B145" s="10" t="str">
        <f>VLOOKUP(A145,[1]Sheet1!$A:$B,2,0)</f>
        <v>MODI</v>
      </c>
      <c r="C145" s="37" t="s">
        <v>99</v>
      </c>
      <c r="D145" s="6">
        <v>353003231</v>
      </c>
      <c r="E145" s="6" t="s">
        <v>74</v>
      </c>
      <c r="F145" s="10" t="s">
        <v>75</v>
      </c>
      <c r="G145" s="39" t="s">
        <v>76</v>
      </c>
      <c r="H145" s="40">
        <v>2024</v>
      </c>
      <c r="I145" s="334">
        <v>3</v>
      </c>
      <c r="J145" s="338">
        <v>45608</v>
      </c>
      <c r="K145" s="240"/>
      <c r="L145" s="400">
        <v>0.2283</v>
      </c>
      <c r="M145" s="400">
        <v>0.26429999999999998</v>
      </c>
      <c r="N145" s="405">
        <v>3.5999999999999997E-2</v>
      </c>
      <c r="O145" s="371">
        <f t="shared" si="135"/>
        <v>0</v>
      </c>
      <c r="P145" s="370">
        <v>1</v>
      </c>
      <c r="Q145" s="370">
        <f t="shared" si="134"/>
        <v>0.2283</v>
      </c>
      <c r="R145" s="23">
        <v>12773</v>
      </c>
      <c r="S145" s="33">
        <v>3925321</v>
      </c>
      <c r="T145" s="382">
        <v>450000</v>
      </c>
      <c r="U145" s="382">
        <f t="shared" si="46"/>
        <v>308688.44400000002</v>
      </c>
      <c r="V145" s="6" t="s">
        <v>82</v>
      </c>
      <c r="W145" s="22" t="s">
        <v>78</v>
      </c>
      <c r="X145" s="27">
        <v>3.5</v>
      </c>
      <c r="Y145" s="27" t="s">
        <v>83</v>
      </c>
      <c r="Z145" s="27"/>
      <c r="AA145" s="16"/>
      <c r="AB145" s="393">
        <f t="shared" si="47"/>
        <v>3375.9038999999998</v>
      </c>
      <c r="AC145" s="17"/>
      <c r="AD145" s="15">
        <f t="shared" si="45"/>
        <v>44.705500000000001</v>
      </c>
      <c r="AE145" s="10"/>
    </row>
    <row r="146" spans="1:31" s="36" customFormat="1" ht="15.75" customHeight="1">
      <c r="A146" s="18" t="s">
        <v>96</v>
      </c>
      <c r="B146" s="10" t="str">
        <f>VLOOKUP(A146,[1]Sheet1!$A:$B,2,0)</f>
        <v>MODI</v>
      </c>
      <c r="C146" s="37" t="s">
        <v>97</v>
      </c>
      <c r="D146" s="6">
        <v>353003232</v>
      </c>
      <c r="E146" s="6" t="s">
        <v>74</v>
      </c>
      <c r="F146" s="10" t="s">
        <v>75</v>
      </c>
      <c r="G146" s="39" t="s">
        <v>76</v>
      </c>
      <c r="H146" s="40">
        <v>2024</v>
      </c>
      <c r="I146" s="334">
        <v>4</v>
      </c>
      <c r="J146" s="338">
        <v>45608</v>
      </c>
      <c r="K146" s="240"/>
      <c r="L146" s="400">
        <v>0.5</v>
      </c>
      <c r="M146" s="400">
        <v>0.56640000000000001</v>
      </c>
      <c r="N146" s="405">
        <v>6.6400000000000001E-2</v>
      </c>
      <c r="O146" s="371">
        <f t="shared" si="135"/>
        <v>0</v>
      </c>
      <c r="P146" s="370">
        <v>1</v>
      </c>
      <c r="Q146" s="370">
        <f t="shared" si="134"/>
        <v>0.5</v>
      </c>
      <c r="R146" s="23">
        <v>301787</v>
      </c>
      <c r="S146" s="33">
        <v>6318321</v>
      </c>
      <c r="T146" s="382">
        <v>830000</v>
      </c>
      <c r="U146" s="382">
        <f t="shared" si="46"/>
        <v>410463.48560000001</v>
      </c>
      <c r="V146" s="6" t="s">
        <v>82</v>
      </c>
      <c r="W146" s="22" t="s">
        <v>78</v>
      </c>
      <c r="X146" s="27">
        <v>8</v>
      </c>
      <c r="Y146" s="27" t="s">
        <v>83</v>
      </c>
      <c r="Z146" s="27"/>
      <c r="AA146" s="16"/>
      <c r="AB146" s="393">
        <f t="shared" si="47"/>
        <v>170932.1568</v>
      </c>
      <c r="AC146" s="17"/>
      <c r="AD146" s="15">
        <f t="shared" si="45"/>
        <v>2414.2959999999998</v>
      </c>
      <c r="AE146" s="10"/>
    </row>
    <row r="147" spans="1:31" s="36" customFormat="1" ht="15.75" customHeight="1">
      <c r="A147" s="18" t="s">
        <v>96</v>
      </c>
      <c r="B147" s="10" t="str">
        <f>VLOOKUP(A147,[1]Sheet1!$A:$B,2,0)</f>
        <v>MODI</v>
      </c>
      <c r="C147" s="37" t="s">
        <v>98</v>
      </c>
      <c r="D147" s="6">
        <v>353003233</v>
      </c>
      <c r="E147" s="6" t="s">
        <v>74</v>
      </c>
      <c r="F147" s="10" t="s">
        <v>75</v>
      </c>
      <c r="G147" s="39" t="s">
        <v>76</v>
      </c>
      <c r="H147" s="40">
        <v>2024</v>
      </c>
      <c r="I147" s="334">
        <v>4</v>
      </c>
      <c r="J147" s="338">
        <v>45608</v>
      </c>
      <c r="K147" s="240"/>
      <c r="L147" s="400">
        <v>8.4000000000000005E-2</v>
      </c>
      <c r="M147" s="400">
        <v>0.1157</v>
      </c>
      <c r="N147" s="405">
        <v>3.1699999999999999E-2</v>
      </c>
      <c r="O147" s="371">
        <f t="shared" si="135"/>
        <v>0</v>
      </c>
      <c r="P147" s="370">
        <v>1</v>
      </c>
      <c r="Q147" s="370">
        <f t="shared" si="134"/>
        <v>8.4000000000000005E-2</v>
      </c>
      <c r="R147" s="23">
        <v>785198</v>
      </c>
      <c r="S147" s="33">
        <v>8068065</v>
      </c>
      <c r="T147" s="382">
        <v>396100</v>
      </c>
      <c r="U147" s="382">
        <f t="shared" si="46"/>
        <v>140342.3395</v>
      </c>
      <c r="V147" s="6" t="s">
        <v>82</v>
      </c>
      <c r="W147" s="22" t="s">
        <v>78</v>
      </c>
      <c r="X147" s="27">
        <v>1.7</v>
      </c>
      <c r="Y147" s="27" t="s">
        <v>83</v>
      </c>
      <c r="Z147" s="27"/>
      <c r="AA147" s="16"/>
      <c r="AB147" s="393">
        <f t="shared" si="47"/>
        <v>90847.408599999995</v>
      </c>
      <c r="AC147" s="17"/>
      <c r="AD147" s="15">
        <f t="shared" si="45"/>
        <v>1334.8365999999999</v>
      </c>
      <c r="AE147" s="10"/>
    </row>
    <row r="148" spans="1:31" s="36" customFormat="1" ht="15.75" customHeight="1">
      <c r="A148" s="18" t="s">
        <v>96</v>
      </c>
      <c r="B148" s="10" t="str">
        <f>VLOOKUP(A148,[1]Sheet1!$A:$B,2,0)</f>
        <v>MODI</v>
      </c>
      <c r="C148" s="37" t="s">
        <v>99</v>
      </c>
      <c r="D148" s="6">
        <v>353003231</v>
      </c>
      <c r="E148" s="6" t="s">
        <v>74</v>
      </c>
      <c r="F148" s="10" t="s">
        <v>75</v>
      </c>
      <c r="G148" s="39" t="s">
        <v>76</v>
      </c>
      <c r="H148" s="40">
        <v>2024</v>
      </c>
      <c r="I148" s="334">
        <v>4</v>
      </c>
      <c r="J148" s="338">
        <v>45608</v>
      </c>
      <c r="K148" s="240"/>
      <c r="L148" s="400">
        <v>0.2283</v>
      </c>
      <c r="M148" s="400">
        <v>0.26429999999999998</v>
      </c>
      <c r="N148" s="405">
        <v>3.5999999999999997E-2</v>
      </c>
      <c r="O148" s="371">
        <f t="shared" si="135"/>
        <v>0</v>
      </c>
      <c r="P148" s="370">
        <v>1</v>
      </c>
      <c r="Q148" s="370">
        <f t="shared" si="134"/>
        <v>0.2283</v>
      </c>
      <c r="R148" s="23">
        <v>0</v>
      </c>
      <c r="S148" s="33">
        <v>3925321</v>
      </c>
      <c r="T148" s="382">
        <v>450000</v>
      </c>
      <c r="U148" s="382">
        <f t="shared" si="46"/>
        <v>308688.44400000002</v>
      </c>
      <c r="V148" s="6" t="s">
        <v>82</v>
      </c>
      <c r="W148" s="22" t="s">
        <v>78</v>
      </c>
      <c r="X148" s="27">
        <v>3.5</v>
      </c>
      <c r="Y148" s="27" t="s">
        <v>83</v>
      </c>
      <c r="Z148" s="27"/>
      <c r="AA148" s="16"/>
      <c r="AB148" s="393">
        <f t="shared" si="47"/>
        <v>0</v>
      </c>
      <c r="AC148" s="17"/>
      <c r="AD148" s="15">
        <f t="shared" si="45"/>
        <v>0</v>
      </c>
      <c r="AE148" s="10"/>
    </row>
    <row r="149" spans="1:31" s="36" customFormat="1" ht="15.75" customHeight="1">
      <c r="A149" s="18" t="s">
        <v>96</v>
      </c>
      <c r="B149" s="10" t="str">
        <f>VLOOKUP(A149,[1]Sheet1!$A:$B,2,0)</f>
        <v>MODI</v>
      </c>
      <c r="C149" s="37" t="s">
        <v>97</v>
      </c>
      <c r="D149" s="6">
        <v>353003232</v>
      </c>
      <c r="E149" s="6" t="s">
        <v>74</v>
      </c>
      <c r="F149" s="10" t="s">
        <v>75</v>
      </c>
      <c r="G149" s="39" t="s">
        <v>76</v>
      </c>
      <c r="H149" s="40">
        <v>2024</v>
      </c>
      <c r="I149" s="334">
        <v>5</v>
      </c>
      <c r="J149" s="338">
        <v>45608</v>
      </c>
      <c r="K149" s="240"/>
      <c r="L149" s="400">
        <v>0.5</v>
      </c>
      <c r="M149" s="400">
        <v>0.56640000000000001</v>
      </c>
      <c r="N149" s="405">
        <v>6.6400000000000001E-2</v>
      </c>
      <c r="O149" s="371">
        <f t="shared" si="135"/>
        <v>0</v>
      </c>
      <c r="P149" s="370">
        <v>1</v>
      </c>
      <c r="Q149" s="370">
        <f t="shared" si="134"/>
        <v>0.5</v>
      </c>
      <c r="R149" s="23">
        <v>302495</v>
      </c>
      <c r="S149" s="33">
        <v>6620816</v>
      </c>
      <c r="T149" s="382">
        <v>830000</v>
      </c>
      <c r="U149" s="382">
        <f t="shared" si="46"/>
        <v>390377.81760000001</v>
      </c>
      <c r="V149" s="6" t="s">
        <v>82</v>
      </c>
      <c r="W149" s="22" t="s">
        <v>78</v>
      </c>
      <c r="X149" s="27">
        <v>8</v>
      </c>
      <c r="Y149" s="27" t="s">
        <v>83</v>
      </c>
      <c r="Z149" s="27"/>
      <c r="AA149" s="16"/>
      <c r="AB149" s="393">
        <f t="shared" si="47"/>
        <v>171333.16800000001</v>
      </c>
      <c r="AC149" s="17"/>
      <c r="AD149" s="15">
        <f t="shared" si="45"/>
        <v>2419.96</v>
      </c>
      <c r="AE149" s="10"/>
    </row>
    <row r="150" spans="1:31" s="36" customFormat="1" ht="15.75" customHeight="1">
      <c r="A150" s="18" t="s">
        <v>96</v>
      </c>
      <c r="B150" s="10" t="str">
        <f>VLOOKUP(A150,[1]Sheet1!$A:$B,2,0)</f>
        <v>MODI</v>
      </c>
      <c r="C150" s="37" t="s">
        <v>98</v>
      </c>
      <c r="D150" s="6">
        <v>353003233</v>
      </c>
      <c r="E150" s="6" t="s">
        <v>74</v>
      </c>
      <c r="F150" s="10" t="s">
        <v>75</v>
      </c>
      <c r="G150" s="39" t="s">
        <v>76</v>
      </c>
      <c r="H150" s="40">
        <v>2024</v>
      </c>
      <c r="I150" s="334">
        <v>5</v>
      </c>
      <c r="J150" s="338">
        <v>45608</v>
      </c>
      <c r="K150" s="240"/>
      <c r="L150" s="400">
        <v>8.4000000000000005E-2</v>
      </c>
      <c r="M150" s="400">
        <v>0.1157</v>
      </c>
      <c r="N150" s="405">
        <v>3.1699999999999999E-2</v>
      </c>
      <c r="O150" s="371">
        <f t="shared" si="135"/>
        <v>0</v>
      </c>
      <c r="P150" s="370">
        <v>1</v>
      </c>
      <c r="Q150" s="370">
        <f t="shared" si="134"/>
        <v>8.4000000000000005E-2</v>
      </c>
      <c r="R150" s="23">
        <v>154088</v>
      </c>
      <c r="S150" s="33">
        <v>8222153</v>
      </c>
      <c r="T150" s="382">
        <v>396100</v>
      </c>
      <c r="U150" s="382">
        <f t="shared" si="46"/>
        <v>135457.7499</v>
      </c>
      <c r="V150" s="6" t="s">
        <v>82</v>
      </c>
      <c r="W150" s="22" t="s">
        <v>78</v>
      </c>
      <c r="X150" s="27">
        <v>1.7</v>
      </c>
      <c r="Y150" s="27" t="s">
        <v>83</v>
      </c>
      <c r="Z150" s="27"/>
      <c r="AA150" s="16"/>
      <c r="AB150" s="393">
        <f t="shared" si="47"/>
        <v>17827.981599999999</v>
      </c>
      <c r="AC150" s="17"/>
      <c r="AD150" s="15">
        <f t="shared" si="45"/>
        <v>261.94960000000003</v>
      </c>
      <c r="AE150" s="10"/>
    </row>
    <row r="151" spans="1:31" s="36" customFormat="1" ht="15.75" customHeight="1">
      <c r="A151" s="18" t="s">
        <v>96</v>
      </c>
      <c r="B151" s="10" t="str">
        <f>VLOOKUP(A151,[1]Sheet1!$A:$B,2,0)</f>
        <v>MODI</v>
      </c>
      <c r="C151" s="37" t="s">
        <v>99</v>
      </c>
      <c r="D151" s="6">
        <v>353003231</v>
      </c>
      <c r="E151" s="6" t="s">
        <v>74</v>
      </c>
      <c r="F151" s="10" t="s">
        <v>75</v>
      </c>
      <c r="G151" s="39" t="s">
        <v>76</v>
      </c>
      <c r="H151" s="40">
        <v>2024</v>
      </c>
      <c r="I151" s="334">
        <v>5</v>
      </c>
      <c r="J151" s="338">
        <v>45608</v>
      </c>
      <c r="K151" s="240"/>
      <c r="L151" s="400">
        <v>0.2283</v>
      </c>
      <c r="M151" s="400">
        <v>0.26429999999999998</v>
      </c>
      <c r="N151" s="405">
        <v>3.5999999999999997E-2</v>
      </c>
      <c r="O151" s="371">
        <f t="shared" si="135"/>
        <v>0</v>
      </c>
      <c r="P151" s="370">
        <v>1</v>
      </c>
      <c r="Q151" s="370">
        <f t="shared" si="134"/>
        <v>0.2283</v>
      </c>
      <c r="R151" s="23">
        <v>0</v>
      </c>
      <c r="S151" s="33">
        <v>3925321</v>
      </c>
      <c r="T151" s="382">
        <v>450000</v>
      </c>
      <c r="U151" s="382">
        <f t="shared" si="46"/>
        <v>308688.44400000002</v>
      </c>
      <c r="V151" s="6" t="s">
        <v>82</v>
      </c>
      <c r="W151" s="22" t="s">
        <v>78</v>
      </c>
      <c r="X151" s="27">
        <v>3.5</v>
      </c>
      <c r="Y151" s="27" t="s">
        <v>83</v>
      </c>
      <c r="Z151" s="27"/>
      <c r="AA151" s="16"/>
      <c r="AB151" s="393">
        <f t="shared" si="47"/>
        <v>0</v>
      </c>
      <c r="AC151" s="17"/>
      <c r="AD151" s="15">
        <f t="shared" si="45"/>
        <v>0</v>
      </c>
      <c r="AE151" s="10"/>
    </row>
    <row r="152" spans="1:31" s="36" customFormat="1" ht="15.75" customHeight="1">
      <c r="A152" s="18" t="s">
        <v>96</v>
      </c>
      <c r="B152" s="10" t="str">
        <f>VLOOKUP(A152,[1]Sheet1!$A:$B,2,0)</f>
        <v>MODI</v>
      </c>
      <c r="C152" s="37" t="s">
        <v>97</v>
      </c>
      <c r="D152" s="6">
        <v>353003232</v>
      </c>
      <c r="E152" s="6" t="s">
        <v>74</v>
      </c>
      <c r="F152" s="10" t="s">
        <v>75</v>
      </c>
      <c r="G152" s="39" t="s">
        <v>76</v>
      </c>
      <c r="H152" s="40">
        <v>2024</v>
      </c>
      <c r="I152" s="334">
        <v>8</v>
      </c>
      <c r="J152" s="338">
        <v>45608</v>
      </c>
      <c r="K152" s="240"/>
      <c r="L152" s="400">
        <v>0.5</v>
      </c>
      <c r="M152" s="400">
        <v>0.56640000000000001</v>
      </c>
      <c r="N152" s="405">
        <v>6.6400000000000001E-2</v>
      </c>
      <c r="O152" s="371">
        <f t="shared" si="135"/>
        <v>0</v>
      </c>
      <c r="P152" s="370">
        <v>1</v>
      </c>
      <c r="Q152" s="370">
        <f t="shared" si="134"/>
        <v>0.5</v>
      </c>
      <c r="R152" s="23">
        <v>179989</v>
      </c>
      <c r="S152" s="33">
        <v>6800805</v>
      </c>
      <c r="T152" s="382">
        <v>830000</v>
      </c>
      <c r="U152" s="382">
        <f t="shared" si="46"/>
        <v>378426.54800000001</v>
      </c>
      <c r="V152" s="6" t="s">
        <v>82</v>
      </c>
      <c r="W152" s="22" t="s">
        <v>78</v>
      </c>
      <c r="X152" s="27">
        <v>8</v>
      </c>
      <c r="Y152" s="27" t="s">
        <v>83</v>
      </c>
      <c r="Z152" s="27"/>
      <c r="AA152" s="16"/>
      <c r="AB152" s="393">
        <f t="shared" si="47"/>
        <v>101945.7696</v>
      </c>
      <c r="AC152" s="17"/>
      <c r="AD152" s="15">
        <f t="shared" si="45"/>
        <v>1439.912</v>
      </c>
      <c r="AE152" s="10"/>
    </row>
    <row r="153" spans="1:31" s="36" customFormat="1" ht="15.75" customHeight="1">
      <c r="A153" s="18" t="s">
        <v>96</v>
      </c>
      <c r="B153" s="10" t="str">
        <f>VLOOKUP(A153,[1]Sheet1!$A:$B,2,0)</f>
        <v>MODI</v>
      </c>
      <c r="C153" s="37" t="s">
        <v>98</v>
      </c>
      <c r="D153" s="6">
        <v>353003233</v>
      </c>
      <c r="E153" s="6" t="s">
        <v>74</v>
      </c>
      <c r="F153" s="10" t="s">
        <v>75</v>
      </c>
      <c r="G153" s="39" t="s">
        <v>76</v>
      </c>
      <c r="H153" s="40">
        <v>2024</v>
      </c>
      <c r="I153" s="334">
        <v>8</v>
      </c>
      <c r="J153" s="338">
        <v>45608</v>
      </c>
      <c r="K153" s="240"/>
      <c r="L153" s="400">
        <v>8.4000000000000005E-2</v>
      </c>
      <c r="M153" s="400">
        <v>0.1157</v>
      </c>
      <c r="N153" s="405">
        <v>3.1699999999999999E-2</v>
      </c>
      <c r="O153" s="371">
        <f t="shared" si="135"/>
        <v>0</v>
      </c>
      <c r="P153" s="370">
        <v>1</v>
      </c>
      <c r="Q153" s="370">
        <f t="shared" si="134"/>
        <v>8.4000000000000005E-2</v>
      </c>
      <c r="R153" s="23">
        <v>146150</v>
      </c>
      <c r="S153" s="33">
        <v>8368303</v>
      </c>
      <c r="T153" s="382">
        <v>396100</v>
      </c>
      <c r="U153" s="382">
        <f t="shared" si="46"/>
        <v>130824.79490000004</v>
      </c>
      <c r="V153" s="6" t="s">
        <v>82</v>
      </c>
      <c r="W153" s="22" t="s">
        <v>78</v>
      </c>
      <c r="X153" s="27">
        <v>1.7</v>
      </c>
      <c r="Y153" s="27" t="s">
        <v>83</v>
      </c>
      <c r="Z153" s="27"/>
      <c r="AA153" s="16"/>
      <c r="AB153" s="393">
        <f t="shared" si="47"/>
        <v>16909.555</v>
      </c>
      <c r="AC153" s="17"/>
      <c r="AD153" s="15">
        <f t="shared" si="45"/>
        <v>248.45500000000001</v>
      </c>
      <c r="AE153" s="10"/>
    </row>
    <row r="154" spans="1:31" s="36" customFormat="1" ht="15.75" customHeight="1">
      <c r="A154" s="18" t="s">
        <v>96</v>
      </c>
      <c r="B154" s="10" t="str">
        <f>VLOOKUP(A154,[1]Sheet1!$A:$B,2,0)</f>
        <v>MODI</v>
      </c>
      <c r="C154" s="37" t="s">
        <v>99</v>
      </c>
      <c r="D154" s="6">
        <v>353003231</v>
      </c>
      <c r="E154" s="6" t="s">
        <v>74</v>
      </c>
      <c r="F154" s="10" t="s">
        <v>75</v>
      </c>
      <c r="G154" s="39" t="s">
        <v>76</v>
      </c>
      <c r="H154" s="40">
        <v>2024</v>
      </c>
      <c r="I154" s="334">
        <v>8</v>
      </c>
      <c r="J154" s="338">
        <v>45608</v>
      </c>
      <c r="K154" s="240"/>
      <c r="L154" s="400">
        <v>0.2283</v>
      </c>
      <c r="M154" s="400">
        <v>0.26429999999999998</v>
      </c>
      <c r="N154" s="405">
        <v>3.5999999999999997E-2</v>
      </c>
      <c r="O154" s="371">
        <f t="shared" si="135"/>
        <v>0</v>
      </c>
      <c r="P154" s="370">
        <v>1</v>
      </c>
      <c r="Q154" s="370">
        <f t="shared" si="134"/>
        <v>0.2283</v>
      </c>
      <c r="R154" s="23">
        <v>0</v>
      </c>
      <c r="S154" s="33">
        <v>3925321</v>
      </c>
      <c r="T154" s="382">
        <v>450000</v>
      </c>
      <c r="U154" s="382">
        <f t="shared" si="46"/>
        <v>308688.44400000002</v>
      </c>
      <c r="V154" s="6" t="s">
        <v>82</v>
      </c>
      <c r="W154" s="22" t="s">
        <v>78</v>
      </c>
      <c r="X154" s="27">
        <v>3.5</v>
      </c>
      <c r="Y154" s="27" t="s">
        <v>83</v>
      </c>
      <c r="Z154" s="27"/>
      <c r="AA154" s="16"/>
      <c r="AB154" s="393">
        <f t="shared" si="47"/>
        <v>0</v>
      </c>
      <c r="AC154" s="17"/>
      <c r="AD154" s="15">
        <f t="shared" si="45"/>
        <v>0</v>
      </c>
      <c r="AE154" s="10"/>
    </row>
    <row r="155" spans="1:31" s="36" customFormat="1" ht="15.75" customHeight="1">
      <c r="A155" s="18" t="s">
        <v>86</v>
      </c>
      <c r="B155" s="10" t="str">
        <f>VLOOKUP(A155,[1]Sheet1!$A:$B,2,0)</f>
        <v>MODI</v>
      </c>
      <c r="C155" s="20" t="s">
        <v>87</v>
      </c>
      <c r="D155" s="31">
        <v>310493191000</v>
      </c>
      <c r="E155" s="6" t="s">
        <v>74</v>
      </c>
      <c r="F155" s="10" t="s">
        <v>75</v>
      </c>
      <c r="G155" s="39" t="s">
        <v>76</v>
      </c>
      <c r="H155" s="40">
        <v>2024</v>
      </c>
      <c r="I155" s="334">
        <v>2</v>
      </c>
      <c r="J155" s="338">
        <v>45608</v>
      </c>
      <c r="K155" s="240"/>
      <c r="L155" s="400">
        <v>0.28620000000000001</v>
      </c>
      <c r="M155" s="400">
        <v>0.31727334999999995</v>
      </c>
      <c r="N155" s="405">
        <v>3.1099999999999999E-2</v>
      </c>
      <c r="O155" s="371">
        <f t="shared" si="135"/>
        <v>0</v>
      </c>
      <c r="P155" s="370">
        <v>1</v>
      </c>
      <c r="Q155" s="370">
        <f t="shared" si="134"/>
        <v>0.28620000000000001</v>
      </c>
      <c r="R155" s="23">
        <v>584256</v>
      </c>
      <c r="S155" s="33">
        <v>43708952</v>
      </c>
      <c r="T155" s="382">
        <v>5970000</v>
      </c>
      <c r="U155" s="382">
        <f t="shared" si="46"/>
        <v>4610651.5927999998</v>
      </c>
      <c r="V155" s="34" t="s">
        <v>88</v>
      </c>
      <c r="W155" s="22" t="s">
        <v>78</v>
      </c>
      <c r="X155" s="27">
        <v>4.03</v>
      </c>
      <c r="Y155" s="27" t="s">
        <v>79</v>
      </c>
      <c r="Z155" s="27"/>
      <c r="AA155" s="16"/>
      <c r="AB155" s="393">
        <f t="shared" si="47"/>
        <v>185368.85837759997</v>
      </c>
      <c r="AC155" s="17"/>
      <c r="AD155" s="15">
        <f t="shared" si="45"/>
        <v>2354.55168</v>
      </c>
      <c r="AE155" s="10"/>
    </row>
    <row r="156" spans="1:31" s="36" customFormat="1" ht="15.75" customHeight="1">
      <c r="A156" s="18" t="s">
        <v>86</v>
      </c>
      <c r="B156" s="10" t="str">
        <f>VLOOKUP(A156,[1]Sheet1!$A:$B,2,0)</f>
        <v>MODI</v>
      </c>
      <c r="C156" s="20" t="s">
        <v>87</v>
      </c>
      <c r="D156" s="31">
        <v>310493191000</v>
      </c>
      <c r="E156" s="6" t="s">
        <v>74</v>
      </c>
      <c r="F156" s="10" t="s">
        <v>75</v>
      </c>
      <c r="G156" s="39" t="s">
        <v>76</v>
      </c>
      <c r="H156" s="40">
        <v>2024</v>
      </c>
      <c r="I156" s="334">
        <v>3</v>
      </c>
      <c r="J156" s="338">
        <v>45608</v>
      </c>
      <c r="K156" s="240"/>
      <c r="L156" s="400">
        <v>0.28620000000000001</v>
      </c>
      <c r="M156" s="400">
        <v>0.31727334999999995</v>
      </c>
      <c r="N156" s="405">
        <v>3.1099999999999999E-2</v>
      </c>
      <c r="O156" s="371">
        <f t="shared" si="135"/>
        <v>0</v>
      </c>
      <c r="P156" s="370">
        <v>1</v>
      </c>
      <c r="Q156" s="370">
        <f t="shared" si="134"/>
        <v>0.28620000000000001</v>
      </c>
      <c r="R156" s="23">
        <v>1224458</v>
      </c>
      <c r="S156" s="15">
        <v>44933410</v>
      </c>
      <c r="T156" s="382">
        <v>5970000</v>
      </c>
      <c r="U156" s="382">
        <f t="shared" si="46"/>
        <v>4572570.949</v>
      </c>
      <c r="V156" s="34" t="s">
        <v>88</v>
      </c>
      <c r="W156" s="22" t="s">
        <v>78</v>
      </c>
      <c r="X156" s="27">
        <v>4.03</v>
      </c>
      <c r="Y156" s="27" t="s">
        <v>79</v>
      </c>
      <c r="Z156" s="27"/>
      <c r="AA156" s="16"/>
      <c r="AB156" s="393">
        <f t="shared" si="47"/>
        <v>388487.89159429993</v>
      </c>
      <c r="AC156" s="17"/>
      <c r="AD156" s="15">
        <f t="shared" si="45"/>
        <v>4934.56574</v>
      </c>
      <c r="AE156" s="10"/>
    </row>
    <row r="157" spans="1:31" s="36" customFormat="1" ht="15.75" customHeight="1">
      <c r="A157" s="18" t="s">
        <v>86</v>
      </c>
      <c r="B157" s="10" t="str">
        <f>VLOOKUP(A157,[1]Sheet1!$A:$B,2,0)</f>
        <v>MODI</v>
      </c>
      <c r="C157" s="20" t="s">
        <v>87</v>
      </c>
      <c r="D157" s="31">
        <v>310493191000</v>
      </c>
      <c r="E157" s="6" t="s">
        <v>74</v>
      </c>
      <c r="F157" s="10" t="s">
        <v>75</v>
      </c>
      <c r="G157" s="39" t="s">
        <v>76</v>
      </c>
      <c r="H157" s="40">
        <v>2024</v>
      </c>
      <c r="I157" s="334">
        <v>4</v>
      </c>
      <c r="J157" s="338">
        <v>45608</v>
      </c>
      <c r="K157" s="240"/>
      <c r="L157" s="400">
        <v>0.28620000000000001</v>
      </c>
      <c r="M157" s="400">
        <v>0.31727334999999995</v>
      </c>
      <c r="N157" s="405">
        <v>3.1099999999999999E-2</v>
      </c>
      <c r="O157" s="371">
        <f t="shared" si="135"/>
        <v>0</v>
      </c>
      <c r="P157" s="370">
        <v>1</v>
      </c>
      <c r="Q157" s="370">
        <f t="shared" si="134"/>
        <v>0.28620000000000001</v>
      </c>
      <c r="R157" s="23">
        <v>1024523</v>
      </c>
      <c r="S157" s="15">
        <v>45957933</v>
      </c>
      <c r="T157" s="382">
        <v>5970000</v>
      </c>
      <c r="U157" s="382">
        <f t="shared" si="46"/>
        <v>4540708.2837000005</v>
      </c>
      <c r="V157" s="34" t="s">
        <v>88</v>
      </c>
      <c r="W157" s="22" t="s">
        <v>78</v>
      </c>
      <c r="X157" s="27">
        <v>4.03</v>
      </c>
      <c r="Y157" s="27" t="s">
        <v>79</v>
      </c>
      <c r="Z157" s="27"/>
      <c r="AA157" s="16"/>
      <c r="AB157" s="393">
        <f t="shared" si="47"/>
        <v>325053.84436204995</v>
      </c>
      <c r="AC157" s="17"/>
      <c r="AD157" s="15">
        <f t="shared" si="45"/>
        <v>4128.8276900000001</v>
      </c>
      <c r="AE157" s="10"/>
    </row>
    <row r="158" spans="1:31" s="36" customFormat="1" ht="15.75" customHeight="1">
      <c r="A158" s="18" t="s">
        <v>86</v>
      </c>
      <c r="B158" s="10" t="str">
        <f>VLOOKUP(A158,[1]Sheet1!$A:$B,2,0)</f>
        <v>MODI</v>
      </c>
      <c r="C158" s="20" t="s">
        <v>87</v>
      </c>
      <c r="D158" s="31">
        <v>310493191000</v>
      </c>
      <c r="E158" s="6" t="s">
        <v>74</v>
      </c>
      <c r="F158" s="10" t="s">
        <v>75</v>
      </c>
      <c r="G158" s="39" t="s">
        <v>76</v>
      </c>
      <c r="H158" s="40">
        <v>2024</v>
      </c>
      <c r="I158" s="334">
        <v>5</v>
      </c>
      <c r="J158" s="338">
        <v>45608</v>
      </c>
      <c r="K158" s="240"/>
      <c r="L158" s="400">
        <v>0.28620000000000001</v>
      </c>
      <c r="M158" s="400">
        <v>0.31727334999999995</v>
      </c>
      <c r="N158" s="405">
        <v>3.1099999999999999E-2</v>
      </c>
      <c r="O158" s="371">
        <f t="shared" si="135"/>
        <v>0</v>
      </c>
      <c r="P158" s="370">
        <v>1</v>
      </c>
      <c r="Q158" s="370">
        <f t="shared" si="134"/>
        <v>0.28620000000000001</v>
      </c>
      <c r="R158" s="23">
        <v>996357</v>
      </c>
      <c r="S158" s="15">
        <v>46954290</v>
      </c>
      <c r="T158" s="382">
        <v>5970000</v>
      </c>
      <c r="U158" s="382">
        <f t="shared" si="46"/>
        <v>4509721.5810000002</v>
      </c>
      <c r="V158" s="34" t="s">
        <v>88</v>
      </c>
      <c r="W158" s="22" t="s">
        <v>78</v>
      </c>
      <c r="X158" s="27">
        <v>4.03</v>
      </c>
      <c r="Y158" s="27" t="s">
        <v>79</v>
      </c>
      <c r="Z158" s="27"/>
      <c r="AA158" s="16"/>
      <c r="AB158" s="393">
        <f t="shared" si="47"/>
        <v>316117.52318594995</v>
      </c>
      <c r="AC158" s="17"/>
      <c r="AD158" s="15">
        <f t="shared" si="45"/>
        <v>4015.3187100000005</v>
      </c>
      <c r="AE158" s="10"/>
    </row>
    <row r="159" spans="1:31" s="36" customFormat="1" ht="15.75" customHeight="1">
      <c r="A159" s="18" t="s">
        <v>86</v>
      </c>
      <c r="B159" s="10" t="str">
        <f>VLOOKUP(A159,[1]Sheet1!$A:$B,2,0)</f>
        <v>MODI</v>
      </c>
      <c r="C159" s="20" t="s">
        <v>87</v>
      </c>
      <c r="D159" s="31">
        <v>310493191000</v>
      </c>
      <c r="E159" s="6" t="s">
        <v>74</v>
      </c>
      <c r="F159" s="10" t="s">
        <v>75</v>
      </c>
      <c r="G159" s="39" t="s">
        <v>76</v>
      </c>
      <c r="H159" s="40">
        <v>2024</v>
      </c>
      <c r="I159" s="334">
        <v>6</v>
      </c>
      <c r="J159" s="338">
        <v>45608</v>
      </c>
      <c r="K159" s="240"/>
      <c r="L159" s="400">
        <v>0.28620000000000001</v>
      </c>
      <c r="M159" s="400">
        <v>0.31727334999999995</v>
      </c>
      <c r="N159" s="405">
        <v>3.1099999999999999E-2</v>
      </c>
      <c r="O159" s="371">
        <f t="shared" si="135"/>
        <v>0</v>
      </c>
      <c r="P159" s="370">
        <v>1</v>
      </c>
      <c r="Q159" s="370">
        <f t="shared" si="134"/>
        <v>0.28620000000000001</v>
      </c>
      <c r="R159" s="23">
        <v>762547</v>
      </c>
      <c r="S159" s="15">
        <v>47716837</v>
      </c>
      <c r="T159" s="382">
        <v>5970000</v>
      </c>
      <c r="U159" s="382">
        <f t="shared" si="46"/>
        <v>4486006.3693000004</v>
      </c>
      <c r="V159" s="34" t="s">
        <v>88</v>
      </c>
      <c r="W159" s="22" t="s">
        <v>78</v>
      </c>
      <c r="X159" s="27">
        <v>4.03</v>
      </c>
      <c r="Y159" s="27" t="s">
        <v>79</v>
      </c>
      <c r="Z159" s="27"/>
      <c r="AA159" s="16"/>
      <c r="AB159" s="393">
        <f t="shared" si="47"/>
        <v>241935.84122244996</v>
      </c>
      <c r="AC159" s="17"/>
      <c r="AD159" s="15">
        <f t="shared" si="45"/>
        <v>3073.06441</v>
      </c>
      <c r="AE159" s="10"/>
    </row>
    <row r="160" spans="1:31" s="36" customFormat="1" ht="15.75" customHeight="1">
      <c r="A160" s="18" t="s">
        <v>86</v>
      </c>
      <c r="B160" s="10" t="str">
        <f>VLOOKUP(A160,[1]Sheet1!$A:$B,2,0)</f>
        <v>MODI</v>
      </c>
      <c r="C160" s="20" t="s">
        <v>87</v>
      </c>
      <c r="D160" s="31">
        <v>310493191000</v>
      </c>
      <c r="E160" s="6" t="s">
        <v>74</v>
      </c>
      <c r="F160" s="10" t="s">
        <v>75</v>
      </c>
      <c r="G160" s="39" t="s">
        <v>76</v>
      </c>
      <c r="H160" s="40">
        <v>2024</v>
      </c>
      <c r="I160" s="334">
        <v>7</v>
      </c>
      <c r="J160" s="338">
        <v>45608</v>
      </c>
      <c r="K160" s="240"/>
      <c r="L160" s="400">
        <v>0.28620000000000001</v>
      </c>
      <c r="M160" s="400">
        <v>0.31727334999999995</v>
      </c>
      <c r="N160" s="405">
        <v>3.1099999999999999E-2</v>
      </c>
      <c r="O160" s="371">
        <f t="shared" si="135"/>
        <v>0</v>
      </c>
      <c r="P160" s="370">
        <v>1</v>
      </c>
      <c r="Q160" s="370">
        <f t="shared" si="134"/>
        <v>0.28620000000000001</v>
      </c>
      <c r="R160" s="23">
        <v>385693</v>
      </c>
      <c r="S160" s="15">
        <v>48102530</v>
      </c>
      <c r="T160" s="382">
        <v>5970000</v>
      </c>
      <c r="U160" s="382">
        <f t="shared" ref="U160:U189" si="139">T160-N160*S160</f>
        <v>4474011.3169999998</v>
      </c>
      <c r="V160" s="34" t="s">
        <v>88</v>
      </c>
      <c r="W160" s="22" t="s">
        <v>78</v>
      </c>
      <c r="X160" s="27">
        <v>4.03</v>
      </c>
      <c r="Y160" s="27" t="s">
        <v>79</v>
      </c>
      <c r="Z160" s="27"/>
      <c r="AA160" s="16"/>
      <c r="AB160" s="393">
        <f t="shared" si="47"/>
        <v>122370.11018154999</v>
      </c>
      <c r="AC160" s="17"/>
      <c r="AD160" s="15">
        <f t="shared" ref="AD160:AD191" si="140">R160*X160/1000</f>
        <v>1554.3427900000002</v>
      </c>
      <c r="AE160" s="10"/>
    </row>
    <row r="161" spans="1:31" s="36" customFormat="1" ht="15.75" customHeight="1">
      <c r="A161" s="18" t="s">
        <v>86</v>
      </c>
      <c r="B161" s="10" t="str">
        <f>VLOOKUP(A161,[1]Sheet1!$A:$B,2,0)</f>
        <v>MODI</v>
      </c>
      <c r="C161" s="20" t="s">
        <v>87</v>
      </c>
      <c r="D161" s="31">
        <v>310493191000</v>
      </c>
      <c r="E161" s="6" t="s">
        <v>74</v>
      </c>
      <c r="F161" s="10" t="s">
        <v>75</v>
      </c>
      <c r="G161" s="39" t="s">
        <v>76</v>
      </c>
      <c r="H161" s="40">
        <v>2024</v>
      </c>
      <c r="I161" s="334">
        <v>8</v>
      </c>
      <c r="J161" s="338">
        <v>45608</v>
      </c>
      <c r="K161" s="240"/>
      <c r="L161" s="400">
        <v>0.28620000000000001</v>
      </c>
      <c r="M161" s="400">
        <v>0.31727334999999995</v>
      </c>
      <c r="N161" s="405">
        <v>3.1099999999999999E-2</v>
      </c>
      <c r="O161" s="371">
        <f t="shared" si="135"/>
        <v>0</v>
      </c>
      <c r="P161" s="370">
        <v>1</v>
      </c>
      <c r="Q161" s="370">
        <f t="shared" si="134"/>
        <v>0.28620000000000001</v>
      </c>
      <c r="R161" s="23">
        <v>174284</v>
      </c>
      <c r="S161" s="15">
        <v>48276814</v>
      </c>
      <c r="T161" s="382">
        <v>5970000</v>
      </c>
      <c r="U161" s="382">
        <f t="shared" si="139"/>
        <v>4468591.0845999997</v>
      </c>
      <c r="V161" s="34" t="s">
        <v>88</v>
      </c>
      <c r="W161" s="22" t="s">
        <v>78</v>
      </c>
      <c r="X161" s="27">
        <v>4.03</v>
      </c>
      <c r="Y161" s="27" t="s">
        <v>79</v>
      </c>
      <c r="Z161" s="27"/>
      <c r="AA161" s="16"/>
      <c r="AB161" s="393">
        <f t="shared" si="47"/>
        <v>55295.668531399991</v>
      </c>
      <c r="AC161" s="17"/>
      <c r="AD161" s="15">
        <f t="shared" si="140"/>
        <v>702.36451999999997</v>
      </c>
      <c r="AE161" s="10"/>
    </row>
    <row r="162" spans="1:31" s="36" customFormat="1" ht="15.75" customHeight="1">
      <c r="A162" s="18" t="s">
        <v>86</v>
      </c>
      <c r="B162" s="10" t="str">
        <f>VLOOKUP(A162,[1]Sheet1!$A:$B,2,0)</f>
        <v>MODI</v>
      </c>
      <c r="C162" s="20" t="s">
        <v>89</v>
      </c>
      <c r="D162" s="31">
        <v>310493192000</v>
      </c>
      <c r="E162" s="6" t="s">
        <v>74</v>
      </c>
      <c r="F162" s="10" t="s">
        <v>75</v>
      </c>
      <c r="G162" s="39" t="s">
        <v>76</v>
      </c>
      <c r="H162" s="40">
        <v>2024</v>
      </c>
      <c r="I162" s="334">
        <v>2</v>
      </c>
      <c r="J162" s="338">
        <v>45608</v>
      </c>
      <c r="K162" s="240"/>
      <c r="L162" s="400">
        <v>4.5900000000000003E-2</v>
      </c>
      <c r="M162" s="400">
        <v>5.6375000000000001E-2</v>
      </c>
      <c r="N162" s="405">
        <v>1.0500000000000001E-2</v>
      </c>
      <c r="O162" s="371">
        <f t="shared" si="135"/>
        <v>0</v>
      </c>
      <c r="P162" s="370">
        <v>1</v>
      </c>
      <c r="Q162" s="370">
        <f t="shared" si="134"/>
        <v>4.5900000000000003E-2</v>
      </c>
      <c r="R162" s="23">
        <v>210000</v>
      </c>
      <c r="S162" s="15">
        <v>44502673</v>
      </c>
      <c r="T162" s="382">
        <v>2514000</v>
      </c>
      <c r="U162" s="382">
        <f t="shared" si="139"/>
        <v>2046721.9335</v>
      </c>
      <c r="V162" s="34" t="s">
        <v>88</v>
      </c>
      <c r="W162" s="22" t="s">
        <v>78</v>
      </c>
      <c r="X162" s="27">
        <v>0.43</v>
      </c>
      <c r="Y162" s="27" t="s">
        <v>79</v>
      </c>
      <c r="Z162" s="27"/>
      <c r="AA162" s="16"/>
      <c r="AB162" s="393">
        <f t="shared" si="47"/>
        <v>11838.75</v>
      </c>
      <c r="AC162" s="17"/>
      <c r="AD162" s="15">
        <f t="shared" si="140"/>
        <v>90.3</v>
      </c>
      <c r="AE162" s="10"/>
    </row>
    <row r="163" spans="1:31" s="36" customFormat="1" ht="15.75" customHeight="1">
      <c r="A163" s="18" t="s">
        <v>86</v>
      </c>
      <c r="B163" s="10" t="str">
        <f>VLOOKUP(A163,[1]Sheet1!$A:$B,2,0)</f>
        <v>MODI</v>
      </c>
      <c r="C163" s="20" t="s">
        <v>89</v>
      </c>
      <c r="D163" s="31">
        <v>310493192000</v>
      </c>
      <c r="E163" s="6" t="s">
        <v>74</v>
      </c>
      <c r="F163" s="10" t="s">
        <v>75</v>
      </c>
      <c r="G163" s="39" t="s">
        <v>76</v>
      </c>
      <c r="H163" s="40">
        <v>2024</v>
      </c>
      <c r="I163" s="334">
        <v>3</v>
      </c>
      <c r="J163" s="338">
        <v>45608</v>
      </c>
      <c r="K163" s="240"/>
      <c r="L163" s="400">
        <v>4.5900000000000003E-2</v>
      </c>
      <c r="M163" s="400">
        <v>5.6375000000000001E-2</v>
      </c>
      <c r="N163" s="405">
        <v>1.0500000000000001E-2</v>
      </c>
      <c r="O163" s="371">
        <f t="shared" si="135"/>
        <v>0</v>
      </c>
      <c r="P163" s="370">
        <v>1</v>
      </c>
      <c r="Q163" s="370">
        <f t="shared" si="134"/>
        <v>4.5900000000000003E-2</v>
      </c>
      <c r="R163" s="23">
        <v>2950527</v>
      </c>
      <c r="S163" s="15">
        <v>47453200</v>
      </c>
      <c r="T163" s="382">
        <v>2514000</v>
      </c>
      <c r="U163" s="382">
        <f t="shared" si="139"/>
        <v>2015741.4</v>
      </c>
      <c r="V163" s="34" t="s">
        <v>88</v>
      </c>
      <c r="W163" s="22" t="s">
        <v>78</v>
      </c>
      <c r="X163" s="27">
        <v>0.43</v>
      </c>
      <c r="Y163" s="27" t="s">
        <v>79</v>
      </c>
      <c r="Z163" s="27"/>
      <c r="AA163" s="16"/>
      <c r="AB163" s="393">
        <f t="shared" si="47"/>
        <v>166335.95962500002</v>
      </c>
      <c r="AC163" s="17"/>
      <c r="AD163" s="15">
        <f t="shared" si="140"/>
        <v>1268.7266099999999</v>
      </c>
      <c r="AE163" s="10"/>
    </row>
    <row r="164" spans="1:31" s="36" customFormat="1" ht="15.75" customHeight="1">
      <c r="A164" s="18" t="s">
        <v>86</v>
      </c>
      <c r="B164" s="10" t="str">
        <f>VLOOKUP(A164,[1]Sheet1!$A:$B,2,0)</f>
        <v>MODI</v>
      </c>
      <c r="C164" s="20" t="s">
        <v>89</v>
      </c>
      <c r="D164" s="31">
        <v>310493192000</v>
      </c>
      <c r="E164" s="6" t="s">
        <v>74</v>
      </c>
      <c r="F164" s="10" t="s">
        <v>75</v>
      </c>
      <c r="G164" s="39" t="s">
        <v>76</v>
      </c>
      <c r="H164" s="40">
        <v>2024</v>
      </c>
      <c r="I164" s="334">
        <v>4</v>
      </c>
      <c r="J164" s="338">
        <v>45608</v>
      </c>
      <c r="K164" s="240"/>
      <c r="L164" s="400">
        <v>4.5900000000000003E-2</v>
      </c>
      <c r="M164" s="400">
        <v>5.6375000000000001E-2</v>
      </c>
      <c r="N164" s="405">
        <v>1.0500000000000001E-2</v>
      </c>
      <c r="O164" s="371">
        <f t="shared" si="135"/>
        <v>0</v>
      </c>
      <c r="P164" s="370">
        <v>1</v>
      </c>
      <c r="Q164" s="370">
        <f t="shared" si="134"/>
        <v>4.5900000000000003E-2</v>
      </c>
      <c r="R164" s="23">
        <v>985685</v>
      </c>
      <c r="S164" s="15">
        <v>48438885</v>
      </c>
      <c r="T164" s="382">
        <v>2514000</v>
      </c>
      <c r="U164" s="382">
        <f t="shared" si="139"/>
        <v>2005391.7075</v>
      </c>
      <c r="V164" s="34" t="s">
        <v>88</v>
      </c>
      <c r="W164" s="22" t="s">
        <v>78</v>
      </c>
      <c r="X164" s="27">
        <v>0.43</v>
      </c>
      <c r="Y164" s="27" t="s">
        <v>79</v>
      </c>
      <c r="Z164" s="27"/>
      <c r="AA164" s="16"/>
      <c r="AB164" s="393">
        <f t="shared" si="47"/>
        <v>55567.991875</v>
      </c>
      <c r="AC164" s="17"/>
      <c r="AD164" s="15">
        <f t="shared" si="140"/>
        <v>423.84454999999997</v>
      </c>
      <c r="AE164" s="10"/>
    </row>
    <row r="165" spans="1:31" s="36" customFormat="1" ht="15.75" customHeight="1">
      <c r="A165" s="18" t="s">
        <v>86</v>
      </c>
      <c r="B165" s="10" t="str">
        <f>VLOOKUP(A165,[1]Sheet1!$A:$B,2,0)</f>
        <v>MODI</v>
      </c>
      <c r="C165" s="20" t="s">
        <v>89</v>
      </c>
      <c r="D165" s="31">
        <v>310493192000</v>
      </c>
      <c r="E165" s="6" t="s">
        <v>74</v>
      </c>
      <c r="F165" s="10" t="s">
        <v>75</v>
      </c>
      <c r="G165" s="39" t="s">
        <v>76</v>
      </c>
      <c r="H165" s="40">
        <v>2024</v>
      </c>
      <c r="I165" s="334">
        <v>5</v>
      </c>
      <c r="J165" s="338">
        <v>45608</v>
      </c>
      <c r="K165" s="240"/>
      <c r="L165" s="400">
        <v>4.5900000000000003E-2</v>
      </c>
      <c r="M165" s="400">
        <v>5.6375000000000001E-2</v>
      </c>
      <c r="N165" s="405">
        <v>1.0500000000000001E-2</v>
      </c>
      <c r="O165" s="371">
        <f t="shared" si="135"/>
        <v>0</v>
      </c>
      <c r="P165" s="370">
        <v>1</v>
      </c>
      <c r="Q165" s="370">
        <f t="shared" si="134"/>
        <v>4.5900000000000003E-2</v>
      </c>
      <c r="R165" s="23">
        <v>962987</v>
      </c>
      <c r="S165" s="15">
        <v>49401872</v>
      </c>
      <c r="T165" s="382">
        <v>2514000</v>
      </c>
      <c r="U165" s="382">
        <f t="shared" si="139"/>
        <v>1995280.344</v>
      </c>
      <c r="V165" s="34" t="s">
        <v>88</v>
      </c>
      <c r="W165" s="22" t="s">
        <v>78</v>
      </c>
      <c r="X165" s="27">
        <v>0.43</v>
      </c>
      <c r="Y165" s="27" t="s">
        <v>79</v>
      </c>
      <c r="Z165" s="27"/>
      <c r="AA165" s="16"/>
      <c r="AB165" s="393">
        <f t="shared" si="47"/>
        <v>54288.392124999998</v>
      </c>
      <c r="AC165" s="17"/>
      <c r="AD165" s="15">
        <f t="shared" si="140"/>
        <v>414.08440999999999</v>
      </c>
      <c r="AE165" s="10"/>
    </row>
    <row r="166" spans="1:31" s="36" customFormat="1" ht="15.75" customHeight="1">
      <c r="A166" s="18" t="s">
        <v>86</v>
      </c>
      <c r="B166" s="10" t="str">
        <f>VLOOKUP(A166,[1]Sheet1!$A:$B,2,0)</f>
        <v>MODI</v>
      </c>
      <c r="C166" s="20" t="s">
        <v>89</v>
      </c>
      <c r="D166" s="31">
        <v>310493192000</v>
      </c>
      <c r="E166" s="6" t="s">
        <v>74</v>
      </c>
      <c r="F166" s="10" t="s">
        <v>75</v>
      </c>
      <c r="G166" s="39" t="s">
        <v>76</v>
      </c>
      <c r="H166" s="40">
        <v>2024</v>
      </c>
      <c r="I166" s="334">
        <v>6</v>
      </c>
      <c r="J166" s="338">
        <v>45608</v>
      </c>
      <c r="K166" s="240"/>
      <c r="L166" s="400">
        <v>4.5900000000000003E-2</v>
      </c>
      <c r="M166" s="400">
        <v>5.6375000000000001E-2</v>
      </c>
      <c r="N166" s="405">
        <v>1.0500000000000001E-2</v>
      </c>
      <c r="O166" s="371">
        <f t="shared" si="135"/>
        <v>0</v>
      </c>
      <c r="P166" s="370">
        <v>1</v>
      </c>
      <c r="Q166" s="370">
        <f t="shared" si="134"/>
        <v>4.5900000000000003E-2</v>
      </c>
      <c r="R166" s="23">
        <v>1109729</v>
      </c>
      <c r="S166" s="15">
        <v>50511601</v>
      </c>
      <c r="T166" s="382">
        <v>2514000</v>
      </c>
      <c r="U166" s="382">
        <f t="shared" si="139"/>
        <v>1983628.1894999999</v>
      </c>
      <c r="V166" s="34" t="s">
        <v>88</v>
      </c>
      <c r="W166" s="22" t="s">
        <v>78</v>
      </c>
      <c r="X166" s="27">
        <v>0.43</v>
      </c>
      <c r="Y166" s="27" t="s">
        <v>79</v>
      </c>
      <c r="Z166" s="27"/>
      <c r="AA166" s="16"/>
      <c r="AB166" s="393">
        <f t="shared" si="47"/>
        <v>62560.972375000005</v>
      </c>
      <c r="AC166" s="17"/>
      <c r="AD166" s="15">
        <f t="shared" si="140"/>
        <v>477.18347</v>
      </c>
      <c r="AE166" s="10"/>
    </row>
    <row r="167" spans="1:31" s="36" customFormat="1" ht="15.75" customHeight="1">
      <c r="A167" s="18" t="s">
        <v>86</v>
      </c>
      <c r="B167" s="10" t="str">
        <f>VLOOKUP(A167,[1]Sheet1!$A:$B,2,0)</f>
        <v>MODI</v>
      </c>
      <c r="C167" s="20" t="s">
        <v>89</v>
      </c>
      <c r="D167" s="31">
        <v>310493192000</v>
      </c>
      <c r="E167" s="6" t="s">
        <v>74</v>
      </c>
      <c r="F167" s="10" t="s">
        <v>75</v>
      </c>
      <c r="G167" s="39" t="s">
        <v>76</v>
      </c>
      <c r="H167" s="40">
        <v>2024</v>
      </c>
      <c r="I167" s="334">
        <v>7</v>
      </c>
      <c r="J167" s="338">
        <v>45608</v>
      </c>
      <c r="K167" s="240"/>
      <c r="L167" s="400">
        <v>4.5900000000000003E-2</v>
      </c>
      <c r="M167" s="400">
        <v>5.6375000000000001E-2</v>
      </c>
      <c r="N167" s="405">
        <v>1.0500000000000001E-2</v>
      </c>
      <c r="O167" s="371">
        <f t="shared" si="135"/>
        <v>0</v>
      </c>
      <c r="P167" s="370">
        <v>1</v>
      </c>
      <c r="Q167" s="370">
        <f t="shared" si="134"/>
        <v>4.5900000000000003E-2</v>
      </c>
      <c r="R167" s="23">
        <v>286203</v>
      </c>
      <c r="S167" s="15">
        <v>50797804</v>
      </c>
      <c r="T167" s="382">
        <v>2514000</v>
      </c>
      <c r="U167" s="382">
        <f t="shared" si="139"/>
        <v>1980623.058</v>
      </c>
      <c r="V167" s="34" t="s">
        <v>88</v>
      </c>
      <c r="W167" s="22" t="s">
        <v>78</v>
      </c>
      <c r="X167" s="27">
        <v>0.43</v>
      </c>
      <c r="Y167" s="27" t="s">
        <v>79</v>
      </c>
      <c r="Z167" s="27"/>
      <c r="AA167" s="16"/>
      <c r="AB167" s="393">
        <f t="shared" si="47"/>
        <v>16134.694125</v>
      </c>
      <c r="AC167" s="17"/>
      <c r="AD167" s="15">
        <f t="shared" si="140"/>
        <v>123.06729</v>
      </c>
      <c r="AE167" s="10"/>
    </row>
    <row r="168" spans="1:31" s="36" customFormat="1" ht="15.75" customHeight="1">
      <c r="A168" s="18" t="s">
        <v>86</v>
      </c>
      <c r="B168" s="10" t="str">
        <f>VLOOKUP(A168,[1]Sheet1!$A:$B,2,0)</f>
        <v>MODI</v>
      </c>
      <c r="C168" s="20" t="s">
        <v>89</v>
      </c>
      <c r="D168" s="31">
        <v>310493192000</v>
      </c>
      <c r="E168" s="6" t="s">
        <v>74</v>
      </c>
      <c r="F168" s="10" t="s">
        <v>75</v>
      </c>
      <c r="G168" s="39" t="s">
        <v>76</v>
      </c>
      <c r="H168" s="40">
        <v>2024</v>
      </c>
      <c r="I168" s="334">
        <v>8</v>
      </c>
      <c r="J168" s="338">
        <v>45608</v>
      </c>
      <c r="K168" s="240"/>
      <c r="L168" s="400">
        <v>4.5900000000000003E-2</v>
      </c>
      <c r="M168" s="400">
        <v>5.6375000000000001E-2</v>
      </c>
      <c r="N168" s="405">
        <v>1.0500000000000001E-2</v>
      </c>
      <c r="O168" s="371">
        <f t="shared" si="135"/>
        <v>0</v>
      </c>
      <c r="P168" s="370">
        <v>1</v>
      </c>
      <c r="Q168" s="370">
        <f t="shared" si="134"/>
        <v>4.5900000000000003E-2</v>
      </c>
      <c r="R168" s="23">
        <v>150000</v>
      </c>
      <c r="S168" s="15">
        <f>R168+S167</f>
        <v>50947804</v>
      </c>
      <c r="T168" s="382">
        <v>2514000</v>
      </c>
      <c r="U168" s="382">
        <f t="shared" si="139"/>
        <v>1979048.058</v>
      </c>
      <c r="V168" s="34" t="s">
        <v>88</v>
      </c>
      <c r="W168" s="22" t="s">
        <v>78</v>
      </c>
      <c r="X168" s="27">
        <v>0.43</v>
      </c>
      <c r="Y168" s="27" t="s">
        <v>79</v>
      </c>
      <c r="Z168" s="27"/>
      <c r="AA168" s="16"/>
      <c r="AB168" s="393">
        <f t="shared" si="47"/>
        <v>8456.25</v>
      </c>
      <c r="AC168" s="17"/>
      <c r="AD168" s="15">
        <f t="shared" si="140"/>
        <v>64.5</v>
      </c>
      <c r="AE168" s="10"/>
    </row>
    <row r="169" spans="1:31" s="36" customFormat="1" ht="15.75" customHeight="1">
      <c r="A169" s="18" t="s">
        <v>86</v>
      </c>
      <c r="B169" s="10" t="str">
        <f>VLOOKUP(A169,[1]Sheet1!$A:$B,2,0)</f>
        <v>MODI</v>
      </c>
      <c r="C169" s="20" t="s">
        <v>90</v>
      </c>
      <c r="D169" s="31">
        <v>310493193000</v>
      </c>
      <c r="E169" s="6" t="s">
        <v>74</v>
      </c>
      <c r="F169" s="10" t="s">
        <v>75</v>
      </c>
      <c r="G169" s="39" t="s">
        <v>76</v>
      </c>
      <c r="H169" s="40">
        <v>2024</v>
      </c>
      <c r="I169" s="334">
        <v>2</v>
      </c>
      <c r="J169" s="338">
        <v>45608</v>
      </c>
      <c r="K169" s="240"/>
      <c r="L169" s="400">
        <v>6.8099999999999994E-2</v>
      </c>
      <c r="M169" s="400">
        <v>8.0466666666666659E-2</v>
      </c>
      <c r="N169" s="405">
        <v>1.24E-2</v>
      </c>
      <c r="O169" s="371">
        <f t="shared" si="135"/>
        <v>0</v>
      </c>
      <c r="P169" s="370">
        <v>1</v>
      </c>
      <c r="Q169" s="370">
        <f t="shared" si="134"/>
        <v>6.8099999999999994E-2</v>
      </c>
      <c r="R169" s="23">
        <v>256316</v>
      </c>
      <c r="S169" s="15">
        <v>44512329</v>
      </c>
      <c r="T169" s="382">
        <v>2968000</v>
      </c>
      <c r="U169" s="382">
        <f t="shared" si="139"/>
        <v>2416047.1203999999</v>
      </c>
      <c r="V169" s="34" t="s">
        <v>88</v>
      </c>
      <c r="W169" s="22" t="s">
        <v>78</v>
      </c>
      <c r="X169" s="27">
        <v>0.6</v>
      </c>
      <c r="Y169" s="27" t="s">
        <v>79</v>
      </c>
      <c r="Z169" s="27"/>
      <c r="AA169" s="16"/>
      <c r="AB169" s="393">
        <f t="shared" si="47"/>
        <v>20624.894133333331</v>
      </c>
      <c r="AC169" s="17"/>
      <c r="AD169" s="15">
        <f t="shared" si="140"/>
        <v>153.78960000000001</v>
      </c>
      <c r="AE169" s="10"/>
    </row>
    <row r="170" spans="1:31" s="36" customFormat="1" ht="15.75" customHeight="1">
      <c r="A170" s="18" t="s">
        <v>86</v>
      </c>
      <c r="B170" s="10" t="str">
        <f>VLOOKUP(A170,[1]Sheet1!$A:$B,2,0)</f>
        <v>MODI</v>
      </c>
      <c r="C170" s="20" t="s">
        <v>90</v>
      </c>
      <c r="D170" s="31">
        <v>310493193000</v>
      </c>
      <c r="E170" s="6" t="s">
        <v>74</v>
      </c>
      <c r="F170" s="10" t="s">
        <v>75</v>
      </c>
      <c r="G170" s="39" t="s">
        <v>76</v>
      </c>
      <c r="H170" s="40">
        <v>2024</v>
      </c>
      <c r="I170" s="334">
        <v>3</v>
      </c>
      <c r="J170" s="338">
        <v>45608</v>
      </c>
      <c r="K170" s="240"/>
      <c r="L170" s="400">
        <v>6.8099999999999994E-2</v>
      </c>
      <c r="M170" s="400">
        <v>8.0466666666666659E-2</v>
      </c>
      <c r="N170" s="405">
        <v>1.24E-2</v>
      </c>
      <c r="O170" s="371">
        <f t="shared" si="135"/>
        <v>0</v>
      </c>
      <c r="P170" s="370">
        <v>1</v>
      </c>
      <c r="Q170" s="370">
        <f t="shared" si="134"/>
        <v>6.8099999999999994E-2</v>
      </c>
      <c r="R170" s="23">
        <v>1850689</v>
      </c>
      <c r="S170" s="15">
        <v>46363018</v>
      </c>
      <c r="T170" s="382">
        <v>2968000</v>
      </c>
      <c r="U170" s="382">
        <f t="shared" si="139"/>
        <v>2393098.5767999999</v>
      </c>
      <c r="V170" s="34" t="s">
        <v>88</v>
      </c>
      <c r="W170" s="22" t="s">
        <v>78</v>
      </c>
      <c r="X170" s="27">
        <v>0.6</v>
      </c>
      <c r="Y170" s="27" t="s">
        <v>79</v>
      </c>
      <c r="Z170" s="27"/>
      <c r="AA170" s="16"/>
      <c r="AB170" s="393">
        <f t="shared" si="47"/>
        <v>148918.77486666664</v>
      </c>
      <c r="AC170" s="17"/>
      <c r="AD170" s="15">
        <f t="shared" si="140"/>
        <v>1110.4133999999999</v>
      </c>
      <c r="AE170" s="10"/>
    </row>
    <row r="171" spans="1:31" s="36" customFormat="1" ht="15.75" customHeight="1">
      <c r="A171" s="18" t="s">
        <v>86</v>
      </c>
      <c r="B171" s="10" t="str">
        <f>VLOOKUP(A171,[1]Sheet1!$A:$B,2,0)</f>
        <v>MODI</v>
      </c>
      <c r="C171" s="20" t="s">
        <v>90</v>
      </c>
      <c r="D171" s="31">
        <v>310493193000</v>
      </c>
      <c r="E171" s="6" t="s">
        <v>74</v>
      </c>
      <c r="F171" s="10" t="s">
        <v>75</v>
      </c>
      <c r="G171" s="39" t="s">
        <v>76</v>
      </c>
      <c r="H171" s="40">
        <v>2024</v>
      </c>
      <c r="I171" s="334">
        <v>4</v>
      </c>
      <c r="J171" s="338">
        <v>45608</v>
      </c>
      <c r="K171" s="240"/>
      <c r="L171" s="400">
        <v>6.8099999999999994E-2</v>
      </c>
      <c r="M171" s="400">
        <v>8.0466666666666659E-2</v>
      </c>
      <c r="N171" s="405">
        <v>1.24E-2</v>
      </c>
      <c r="O171" s="371">
        <f t="shared" si="135"/>
        <v>0</v>
      </c>
      <c r="P171" s="370">
        <v>1</v>
      </c>
      <c r="Q171" s="370">
        <f t="shared" si="134"/>
        <v>6.8099999999999994E-2</v>
      </c>
      <c r="R171" s="23">
        <f>274017+470377</f>
        <v>744394</v>
      </c>
      <c r="S171" s="15">
        <v>47107412</v>
      </c>
      <c r="T171" s="382">
        <v>2968000</v>
      </c>
      <c r="U171" s="382">
        <f t="shared" si="139"/>
        <v>2383868.0912000001</v>
      </c>
      <c r="V171" s="34" t="s">
        <v>88</v>
      </c>
      <c r="W171" s="22" t="s">
        <v>78</v>
      </c>
      <c r="X171" s="27">
        <v>0.6</v>
      </c>
      <c r="Y171" s="27" t="s">
        <v>79</v>
      </c>
      <c r="Z171" s="27"/>
      <c r="AA171" s="16"/>
      <c r="AB171" s="393">
        <f t="shared" si="47"/>
        <v>59898.90386666666</v>
      </c>
      <c r="AC171" s="17"/>
      <c r="AD171" s="15">
        <f t="shared" si="140"/>
        <v>446.63639999999998</v>
      </c>
      <c r="AE171" s="10"/>
    </row>
    <row r="172" spans="1:31" s="36" customFormat="1" ht="15.75" customHeight="1">
      <c r="A172" s="18" t="s">
        <v>86</v>
      </c>
      <c r="B172" s="10" t="str">
        <f>VLOOKUP(A172,[1]Sheet1!$A:$B,2,0)</f>
        <v>MODI</v>
      </c>
      <c r="C172" s="20" t="s">
        <v>90</v>
      </c>
      <c r="D172" s="31">
        <v>310493193000</v>
      </c>
      <c r="E172" s="6" t="s">
        <v>74</v>
      </c>
      <c r="F172" s="10" t="s">
        <v>75</v>
      </c>
      <c r="G172" s="39" t="s">
        <v>76</v>
      </c>
      <c r="H172" s="40">
        <v>2024</v>
      </c>
      <c r="I172" s="334">
        <v>5</v>
      </c>
      <c r="J172" s="338">
        <v>45608</v>
      </c>
      <c r="K172" s="240"/>
      <c r="L172" s="400">
        <v>6.8099999999999994E-2</v>
      </c>
      <c r="M172" s="400">
        <v>8.0466666666666659E-2</v>
      </c>
      <c r="N172" s="405">
        <v>1.24E-2</v>
      </c>
      <c r="O172" s="371">
        <f t="shared" si="135"/>
        <v>0</v>
      </c>
      <c r="P172" s="370">
        <v>1</v>
      </c>
      <c r="Q172" s="370">
        <f t="shared" si="134"/>
        <v>6.8099999999999994E-2</v>
      </c>
      <c r="R172" s="23">
        <v>652761</v>
      </c>
      <c r="S172" s="15">
        <v>47760173</v>
      </c>
      <c r="T172" s="382">
        <v>2968000</v>
      </c>
      <c r="U172" s="382">
        <f t="shared" si="139"/>
        <v>2375773.8547999999</v>
      </c>
      <c r="V172" s="34" t="s">
        <v>88</v>
      </c>
      <c r="W172" s="22" t="s">
        <v>78</v>
      </c>
      <c r="X172" s="27">
        <v>0.6</v>
      </c>
      <c r="Y172" s="27" t="s">
        <v>79</v>
      </c>
      <c r="Z172" s="27"/>
      <c r="AA172" s="16"/>
      <c r="AB172" s="393">
        <f t="shared" si="47"/>
        <v>52525.501799999998</v>
      </c>
      <c r="AC172" s="17"/>
      <c r="AD172" s="15">
        <f t="shared" si="140"/>
        <v>391.65659999999997</v>
      </c>
      <c r="AE172" s="10"/>
    </row>
    <row r="173" spans="1:31" s="36" customFormat="1" ht="15.75" customHeight="1">
      <c r="A173" s="18" t="s">
        <v>86</v>
      </c>
      <c r="B173" s="10" t="str">
        <f>VLOOKUP(A173,[1]Sheet1!$A:$B,2,0)</f>
        <v>MODI</v>
      </c>
      <c r="C173" s="20" t="s">
        <v>90</v>
      </c>
      <c r="D173" s="31">
        <v>310493193000</v>
      </c>
      <c r="E173" s="6" t="s">
        <v>74</v>
      </c>
      <c r="F173" s="10" t="s">
        <v>75</v>
      </c>
      <c r="G173" s="39" t="s">
        <v>76</v>
      </c>
      <c r="H173" s="40">
        <v>2024</v>
      </c>
      <c r="I173" s="334">
        <v>6</v>
      </c>
      <c r="J173" s="338">
        <v>45608</v>
      </c>
      <c r="K173" s="240"/>
      <c r="L173" s="400">
        <v>6.8099999999999994E-2</v>
      </c>
      <c r="M173" s="400">
        <v>8.0466666666666659E-2</v>
      </c>
      <c r="N173" s="405">
        <v>1.24E-2</v>
      </c>
      <c r="O173" s="371">
        <f t="shared" si="135"/>
        <v>0</v>
      </c>
      <c r="P173" s="370">
        <v>1</v>
      </c>
      <c r="Q173" s="370">
        <f t="shared" si="134"/>
        <v>6.8099999999999994E-2</v>
      </c>
      <c r="R173" s="23">
        <v>203616</v>
      </c>
      <c r="S173" s="15">
        <v>47963789</v>
      </c>
      <c r="T173" s="382">
        <v>2968000</v>
      </c>
      <c r="U173" s="382">
        <f t="shared" si="139"/>
        <v>2373249.0164000001</v>
      </c>
      <c r="V173" s="34" t="s">
        <v>88</v>
      </c>
      <c r="W173" s="22" t="s">
        <v>78</v>
      </c>
      <c r="X173" s="27">
        <v>0.6</v>
      </c>
      <c r="Y173" s="27" t="s">
        <v>79</v>
      </c>
      <c r="Z173" s="27"/>
      <c r="AA173" s="16"/>
      <c r="AB173" s="393">
        <f t="shared" si="47"/>
        <v>16384.300799999997</v>
      </c>
      <c r="AC173" s="17"/>
      <c r="AD173" s="15">
        <f t="shared" si="140"/>
        <v>122.16959999999999</v>
      </c>
      <c r="AE173" s="10"/>
    </row>
    <row r="174" spans="1:31" s="36" customFormat="1" ht="15.75" customHeight="1">
      <c r="A174" s="18" t="s">
        <v>86</v>
      </c>
      <c r="B174" s="10" t="str">
        <f>VLOOKUP(A174,[1]Sheet1!$A:$B,2,0)</f>
        <v>MODI</v>
      </c>
      <c r="C174" s="20" t="s">
        <v>90</v>
      </c>
      <c r="D174" s="31">
        <v>310493193000</v>
      </c>
      <c r="E174" s="6" t="s">
        <v>74</v>
      </c>
      <c r="F174" s="10" t="s">
        <v>75</v>
      </c>
      <c r="G174" s="39" t="s">
        <v>76</v>
      </c>
      <c r="H174" s="40">
        <v>2024</v>
      </c>
      <c r="I174" s="334">
        <v>7</v>
      </c>
      <c r="J174" s="338">
        <v>45608</v>
      </c>
      <c r="K174" s="240"/>
      <c r="L174" s="400">
        <v>6.8099999999999994E-2</v>
      </c>
      <c r="M174" s="400">
        <v>8.0466666666666659E-2</v>
      </c>
      <c r="N174" s="405">
        <v>1.24E-2</v>
      </c>
      <c r="O174" s="371">
        <f t="shared" si="135"/>
        <v>0</v>
      </c>
      <c r="P174" s="370">
        <v>1</v>
      </c>
      <c r="Q174" s="370">
        <f t="shared" si="134"/>
        <v>6.8099999999999994E-2</v>
      </c>
      <c r="R174" s="23">
        <v>72000</v>
      </c>
      <c r="S174" s="15">
        <v>48035789</v>
      </c>
      <c r="T174" s="382">
        <v>2968000</v>
      </c>
      <c r="U174" s="382">
        <f t="shared" si="139"/>
        <v>2372356.2164000003</v>
      </c>
      <c r="V174" s="34" t="s">
        <v>88</v>
      </c>
      <c r="W174" s="22" t="s">
        <v>78</v>
      </c>
      <c r="X174" s="27">
        <v>0.6</v>
      </c>
      <c r="Y174" s="27" t="s">
        <v>79</v>
      </c>
      <c r="Z174" s="27"/>
      <c r="AA174" s="16"/>
      <c r="AB174" s="393">
        <f t="shared" si="47"/>
        <v>5793.5999999999995</v>
      </c>
      <c r="AC174" s="17"/>
      <c r="AD174" s="15">
        <f t="shared" si="140"/>
        <v>43.2</v>
      </c>
      <c r="AE174" s="10"/>
    </row>
    <row r="175" spans="1:31" s="36" customFormat="1" ht="15.75" customHeight="1">
      <c r="A175" s="18" t="s">
        <v>86</v>
      </c>
      <c r="B175" s="10" t="str">
        <f>VLOOKUP(A175,[1]Sheet1!$A:$B,2,0)</f>
        <v>MODI</v>
      </c>
      <c r="C175" s="20" t="s">
        <v>90</v>
      </c>
      <c r="D175" s="31">
        <v>310493193000</v>
      </c>
      <c r="E175" s="6" t="s">
        <v>74</v>
      </c>
      <c r="F175" s="10" t="s">
        <v>75</v>
      </c>
      <c r="G175" s="39" t="s">
        <v>76</v>
      </c>
      <c r="H175" s="40">
        <v>2024</v>
      </c>
      <c r="I175" s="334">
        <v>8</v>
      </c>
      <c r="J175" s="338">
        <v>45608</v>
      </c>
      <c r="K175" s="240"/>
      <c r="L175" s="400">
        <v>6.8099999999999994E-2</v>
      </c>
      <c r="M175" s="400">
        <v>8.0466666666666659E-2</v>
      </c>
      <c r="N175" s="405">
        <v>1.24E-2</v>
      </c>
      <c r="O175" s="371">
        <f t="shared" si="135"/>
        <v>0</v>
      </c>
      <c r="P175" s="370">
        <v>1</v>
      </c>
      <c r="Q175" s="370">
        <f t="shared" si="134"/>
        <v>6.8099999999999994E-2</v>
      </c>
      <c r="R175" s="23">
        <v>0</v>
      </c>
      <c r="S175" s="15">
        <v>48035789</v>
      </c>
      <c r="T175" s="382">
        <v>2968000</v>
      </c>
      <c r="U175" s="382">
        <f t="shared" si="139"/>
        <v>2372356.2164000003</v>
      </c>
      <c r="V175" s="34" t="s">
        <v>88</v>
      </c>
      <c r="W175" s="22" t="s">
        <v>78</v>
      </c>
      <c r="X175" s="27">
        <v>0.6</v>
      </c>
      <c r="Y175" s="27" t="s">
        <v>79</v>
      </c>
      <c r="Z175" s="27"/>
      <c r="AA175" s="16"/>
      <c r="AB175" s="393">
        <f t="shared" si="47"/>
        <v>0</v>
      </c>
      <c r="AC175" s="17"/>
      <c r="AD175" s="15">
        <f t="shared" si="140"/>
        <v>0</v>
      </c>
      <c r="AE175" s="10"/>
    </row>
    <row r="176" spans="1:31" s="36" customFormat="1" ht="15.75" customHeight="1">
      <c r="A176" s="18" t="s">
        <v>86</v>
      </c>
      <c r="B176" s="10" t="str">
        <f>VLOOKUP(A176,[1]Sheet1!$A:$B,2,0)</f>
        <v>MODI</v>
      </c>
      <c r="C176" s="20" t="s">
        <v>91</v>
      </c>
      <c r="D176" s="31">
        <v>310493194000</v>
      </c>
      <c r="E176" s="6" t="s">
        <v>74</v>
      </c>
      <c r="F176" s="10" t="s">
        <v>75</v>
      </c>
      <c r="G176" s="39" t="s">
        <v>76</v>
      </c>
      <c r="H176" s="40">
        <v>2024</v>
      </c>
      <c r="I176" s="334">
        <v>2</v>
      </c>
      <c r="J176" s="338">
        <v>45608</v>
      </c>
      <c r="K176" s="240"/>
      <c r="L176" s="400">
        <v>7.0999999999999994E-2</v>
      </c>
      <c r="M176" s="400">
        <v>8.5166666666666654E-2</v>
      </c>
      <c r="N176" s="405">
        <v>1.4200000000000001E-2</v>
      </c>
      <c r="O176" s="371">
        <f t="shared" si="135"/>
        <v>0</v>
      </c>
      <c r="P176" s="370">
        <v>1</v>
      </c>
      <c r="Q176" s="370">
        <f t="shared" si="134"/>
        <v>7.0999999999999994E-2</v>
      </c>
      <c r="R176" s="23">
        <v>366768</v>
      </c>
      <c r="S176" s="15">
        <v>59055788</v>
      </c>
      <c r="T176" s="382">
        <v>3400000</v>
      </c>
      <c r="U176" s="382">
        <f t="shared" si="139"/>
        <v>2561407.8103999998</v>
      </c>
      <c r="V176" s="35" t="s">
        <v>92</v>
      </c>
      <c r="W176" s="22" t="s">
        <v>78</v>
      </c>
      <c r="X176" s="27">
        <v>1</v>
      </c>
      <c r="Y176" s="27" t="s">
        <v>93</v>
      </c>
      <c r="Z176" s="27"/>
      <c r="AA176" s="16"/>
      <c r="AB176" s="393">
        <f t="shared" si="47"/>
        <v>31236.407999999996</v>
      </c>
      <c r="AC176" s="17"/>
      <c r="AD176" s="15">
        <f t="shared" si="140"/>
        <v>366.76799999999997</v>
      </c>
      <c r="AE176" s="10" t="s">
        <v>94</v>
      </c>
    </row>
    <row r="177" spans="1:31" s="36" customFormat="1" ht="15.75" customHeight="1">
      <c r="A177" s="18" t="s">
        <v>86</v>
      </c>
      <c r="B177" s="10" t="str">
        <f>VLOOKUP(A177,[1]Sheet1!$A:$B,2,0)</f>
        <v>MODI</v>
      </c>
      <c r="C177" s="20" t="s">
        <v>91</v>
      </c>
      <c r="D177" s="31">
        <v>310493194000</v>
      </c>
      <c r="E177" s="6" t="s">
        <v>74</v>
      </c>
      <c r="F177" s="10" t="s">
        <v>75</v>
      </c>
      <c r="G177" s="39" t="s">
        <v>76</v>
      </c>
      <c r="H177" s="40">
        <v>2024</v>
      </c>
      <c r="I177" s="334">
        <v>3</v>
      </c>
      <c r="J177" s="338">
        <v>45608</v>
      </c>
      <c r="K177" s="240"/>
      <c r="L177" s="400">
        <v>7.0999999999999994E-2</v>
      </c>
      <c r="M177" s="400">
        <v>8.5166666666666654E-2</v>
      </c>
      <c r="N177" s="405">
        <v>1.4200000000000001E-2</v>
      </c>
      <c r="O177" s="371">
        <f t="shared" si="135"/>
        <v>0</v>
      </c>
      <c r="P177" s="370">
        <v>1</v>
      </c>
      <c r="Q177" s="370">
        <f t="shared" si="134"/>
        <v>7.0999999999999994E-2</v>
      </c>
      <c r="R177" s="23">
        <v>1442034</v>
      </c>
      <c r="S177" s="15">
        <v>60497822</v>
      </c>
      <c r="T177" s="382">
        <v>3400000</v>
      </c>
      <c r="U177" s="382">
        <f t="shared" si="139"/>
        <v>2540930.9276000001</v>
      </c>
      <c r="V177" s="35" t="s">
        <v>92</v>
      </c>
      <c r="W177" s="22" t="s">
        <v>78</v>
      </c>
      <c r="X177" s="27">
        <v>1</v>
      </c>
      <c r="Y177" s="27" t="s">
        <v>93</v>
      </c>
      <c r="Z177" s="27"/>
      <c r="AA177" s="16"/>
      <c r="AB177" s="393">
        <f t="shared" si="47"/>
        <v>122813.22899999998</v>
      </c>
      <c r="AC177" s="17"/>
      <c r="AD177" s="15">
        <f t="shared" si="140"/>
        <v>1442.0340000000001</v>
      </c>
      <c r="AE177" s="10" t="s">
        <v>94</v>
      </c>
    </row>
    <row r="178" spans="1:31" s="36" customFormat="1" ht="15.75" customHeight="1">
      <c r="A178" s="18" t="s">
        <v>86</v>
      </c>
      <c r="B178" s="10" t="str">
        <f>VLOOKUP(A178,[1]Sheet1!$A:$B,2,0)</f>
        <v>MODI</v>
      </c>
      <c r="C178" s="20" t="s">
        <v>91</v>
      </c>
      <c r="D178" s="31">
        <v>310493194000</v>
      </c>
      <c r="E178" s="6" t="s">
        <v>74</v>
      </c>
      <c r="F178" s="10" t="s">
        <v>75</v>
      </c>
      <c r="G178" s="39" t="s">
        <v>76</v>
      </c>
      <c r="H178" s="40">
        <v>2024</v>
      </c>
      <c r="I178" s="334">
        <v>4</v>
      </c>
      <c r="J178" s="338">
        <v>45608</v>
      </c>
      <c r="K178" s="240"/>
      <c r="L178" s="400">
        <v>7.0999999999999994E-2</v>
      </c>
      <c r="M178" s="400">
        <v>8.5166666666666654E-2</v>
      </c>
      <c r="N178" s="405">
        <v>1.4200000000000001E-2</v>
      </c>
      <c r="O178" s="371">
        <f t="shared" si="135"/>
        <v>0</v>
      </c>
      <c r="P178" s="370">
        <v>1</v>
      </c>
      <c r="Q178" s="370">
        <f t="shared" si="134"/>
        <v>7.0999999999999994E-2</v>
      </c>
      <c r="R178" s="23">
        <v>1054268</v>
      </c>
      <c r="S178" s="15">
        <v>61552090</v>
      </c>
      <c r="T178" s="382">
        <v>3400000</v>
      </c>
      <c r="U178" s="382">
        <f t="shared" si="139"/>
        <v>2525960.3219999997</v>
      </c>
      <c r="V178" s="35" t="s">
        <v>92</v>
      </c>
      <c r="W178" s="22" t="s">
        <v>78</v>
      </c>
      <c r="X178" s="27">
        <v>1</v>
      </c>
      <c r="Y178" s="27" t="s">
        <v>93</v>
      </c>
      <c r="Z178" s="27"/>
      <c r="AA178" s="16"/>
      <c r="AB178" s="393">
        <f t="shared" si="47"/>
        <v>89788.491333333324</v>
      </c>
      <c r="AC178" s="17"/>
      <c r="AD178" s="15">
        <f t="shared" si="140"/>
        <v>1054.268</v>
      </c>
      <c r="AE178" s="10" t="s">
        <v>94</v>
      </c>
    </row>
    <row r="179" spans="1:31" s="36" customFormat="1" ht="15.75" customHeight="1">
      <c r="A179" s="18" t="s">
        <v>86</v>
      </c>
      <c r="B179" s="10" t="str">
        <f>VLOOKUP(A179,[1]Sheet1!$A:$B,2,0)</f>
        <v>MODI</v>
      </c>
      <c r="C179" s="20" t="s">
        <v>91</v>
      </c>
      <c r="D179" s="31">
        <v>310493194000</v>
      </c>
      <c r="E179" s="6" t="s">
        <v>74</v>
      </c>
      <c r="F179" s="10" t="s">
        <v>75</v>
      </c>
      <c r="G179" s="39" t="s">
        <v>76</v>
      </c>
      <c r="H179" s="40">
        <v>2024</v>
      </c>
      <c r="I179" s="334">
        <v>5</v>
      </c>
      <c r="J179" s="338">
        <v>45608</v>
      </c>
      <c r="K179" s="240"/>
      <c r="L179" s="400">
        <v>7.0999999999999994E-2</v>
      </c>
      <c r="M179" s="400">
        <v>8.5166666666666654E-2</v>
      </c>
      <c r="N179" s="405">
        <v>1.4200000000000001E-2</v>
      </c>
      <c r="O179" s="371">
        <f t="shared" si="135"/>
        <v>0</v>
      </c>
      <c r="P179" s="370">
        <v>1</v>
      </c>
      <c r="Q179" s="370">
        <f t="shared" si="134"/>
        <v>7.0999999999999994E-2</v>
      </c>
      <c r="R179" s="23">
        <v>1138850</v>
      </c>
      <c r="S179" s="15">
        <v>62690940</v>
      </c>
      <c r="T179" s="382">
        <v>3400000</v>
      </c>
      <c r="U179" s="382">
        <f t="shared" si="139"/>
        <v>2509788.6519999998</v>
      </c>
      <c r="V179" s="35" t="s">
        <v>92</v>
      </c>
      <c r="W179" s="22" t="s">
        <v>78</v>
      </c>
      <c r="X179" s="27">
        <v>1</v>
      </c>
      <c r="Y179" s="27" t="s">
        <v>93</v>
      </c>
      <c r="Z179" s="27"/>
      <c r="AA179" s="16"/>
      <c r="AB179" s="393">
        <f t="shared" si="47"/>
        <v>96992.05833333332</v>
      </c>
      <c r="AC179" s="17"/>
      <c r="AD179" s="15">
        <f t="shared" si="140"/>
        <v>1138.8499999999999</v>
      </c>
      <c r="AE179" s="10" t="s">
        <v>94</v>
      </c>
    </row>
    <row r="180" spans="1:31" s="36" customFormat="1" ht="15.75" customHeight="1">
      <c r="A180" s="18" t="s">
        <v>86</v>
      </c>
      <c r="B180" s="10" t="str">
        <f>VLOOKUP(A180,[1]Sheet1!$A:$B,2,0)</f>
        <v>MODI</v>
      </c>
      <c r="C180" s="20" t="s">
        <v>91</v>
      </c>
      <c r="D180" s="31">
        <v>310493194000</v>
      </c>
      <c r="E180" s="6" t="s">
        <v>74</v>
      </c>
      <c r="F180" s="10" t="s">
        <v>75</v>
      </c>
      <c r="G180" s="39" t="s">
        <v>76</v>
      </c>
      <c r="H180" s="40">
        <v>2024</v>
      </c>
      <c r="I180" s="334">
        <v>6</v>
      </c>
      <c r="J180" s="338">
        <v>45608</v>
      </c>
      <c r="K180" s="240"/>
      <c r="L180" s="400">
        <v>7.0999999999999994E-2</v>
      </c>
      <c r="M180" s="400">
        <v>8.5166666666666654E-2</v>
      </c>
      <c r="N180" s="405">
        <v>1.4200000000000001E-2</v>
      </c>
      <c r="O180" s="371">
        <f t="shared" si="135"/>
        <v>0</v>
      </c>
      <c r="P180" s="370">
        <v>1</v>
      </c>
      <c r="Q180" s="370">
        <f t="shared" si="134"/>
        <v>7.0999999999999994E-2</v>
      </c>
      <c r="R180" s="23">
        <v>772848</v>
      </c>
      <c r="S180" s="15">
        <v>63463788</v>
      </c>
      <c r="T180" s="382">
        <v>3400000</v>
      </c>
      <c r="U180" s="382">
        <f t="shared" si="139"/>
        <v>2498814.2104000002</v>
      </c>
      <c r="V180" s="35" t="s">
        <v>92</v>
      </c>
      <c r="W180" s="22" t="s">
        <v>78</v>
      </c>
      <c r="X180" s="27">
        <v>1</v>
      </c>
      <c r="Y180" s="27" t="s">
        <v>93</v>
      </c>
      <c r="Z180" s="27"/>
      <c r="AA180" s="16"/>
      <c r="AB180" s="393">
        <f t="shared" si="47"/>
        <v>65820.887999999992</v>
      </c>
      <c r="AC180" s="17"/>
      <c r="AD180" s="15">
        <f t="shared" si="140"/>
        <v>772.84799999999996</v>
      </c>
      <c r="AE180" s="10" t="s">
        <v>94</v>
      </c>
    </row>
    <row r="181" spans="1:31" s="36" customFormat="1" ht="15.75" customHeight="1">
      <c r="A181" s="18" t="s">
        <v>86</v>
      </c>
      <c r="B181" s="10" t="str">
        <f>VLOOKUP(A181,[1]Sheet1!$A:$B,2,0)</f>
        <v>MODI</v>
      </c>
      <c r="C181" s="20" t="s">
        <v>91</v>
      </c>
      <c r="D181" s="31">
        <v>310493194000</v>
      </c>
      <c r="E181" s="6" t="s">
        <v>74</v>
      </c>
      <c r="F181" s="10" t="s">
        <v>75</v>
      </c>
      <c r="G181" s="39" t="s">
        <v>76</v>
      </c>
      <c r="H181" s="40">
        <v>2024</v>
      </c>
      <c r="I181" s="334">
        <v>7</v>
      </c>
      <c r="J181" s="338">
        <v>45608</v>
      </c>
      <c r="K181" s="240"/>
      <c r="L181" s="400">
        <v>7.0999999999999994E-2</v>
      </c>
      <c r="M181" s="400">
        <v>8.5166666666666654E-2</v>
      </c>
      <c r="N181" s="405">
        <v>1.4200000000000001E-2</v>
      </c>
      <c r="O181" s="371">
        <f t="shared" si="135"/>
        <v>0</v>
      </c>
      <c r="P181" s="370">
        <v>1</v>
      </c>
      <c r="Q181" s="370">
        <f t="shared" si="134"/>
        <v>7.0999999999999994E-2</v>
      </c>
      <c r="R181" s="23">
        <v>497889</v>
      </c>
      <c r="S181" s="15">
        <v>63961677</v>
      </c>
      <c r="T181" s="382">
        <v>3400000</v>
      </c>
      <c r="U181" s="382">
        <f t="shared" si="139"/>
        <v>2491744.1865999997</v>
      </c>
      <c r="V181" s="35" t="s">
        <v>92</v>
      </c>
      <c r="W181" s="22" t="s">
        <v>78</v>
      </c>
      <c r="X181" s="27">
        <v>1</v>
      </c>
      <c r="Y181" s="27" t="s">
        <v>93</v>
      </c>
      <c r="Z181" s="27"/>
      <c r="AA181" s="16"/>
      <c r="AB181" s="393">
        <f t="shared" si="47"/>
        <v>42403.546499999997</v>
      </c>
      <c r="AC181" s="17"/>
      <c r="AD181" s="15">
        <f t="shared" si="140"/>
        <v>497.88900000000001</v>
      </c>
      <c r="AE181" s="10" t="s">
        <v>94</v>
      </c>
    </row>
    <row r="182" spans="1:31" s="36" customFormat="1" ht="15.75" customHeight="1">
      <c r="A182" s="18" t="s">
        <v>86</v>
      </c>
      <c r="B182" s="10" t="str">
        <f>VLOOKUP(A182,[1]Sheet1!$A:$B,2,0)</f>
        <v>MODI</v>
      </c>
      <c r="C182" s="20" t="s">
        <v>91</v>
      </c>
      <c r="D182" s="31">
        <v>310493194000</v>
      </c>
      <c r="E182" s="6" t="s">
        <v>74</v>
      </c>
      <c r="F182" s="10" t="s">
        <v>75</v>
      </c>
      <c r="G182" s="39" t="s">
        <v>76</v>
      </c>
      <c r="H182" s="40">
        <v>2024</v>
      </c>
      <c r="I182" s="334">
        <v>8</v>
      </c>
      <c r="J182" s="338">
        <v>45608</v>
      </c>
      <c r="K182" s="240"/>
      <c r="L182" s="400">
        <v>7.0999999999999994E-2</v>
      </c>
      <c r="M182" s="400">
        <v>8.5166666666666654E-2</v>
      </c>
      <c r="N182" s="405">
        <v>1.4200000000000001E-2</v>
      </c>
      <c r="O182" s="371">
        <f t="shared" si="135"/>
        <v>0</v>
      </c>
      <c r="P182" s="370">
        <v>1</v>
      </c>
      <c r="Q182" s="370">
        <f t="shared" si="134"/>
        <v>7.0999999999999994E-2</v>
      </c>
      <c r="R182" s="23">
        <v>194400</v>
      </c>
      <c r="S182" s="15">
        <v>64156077</v>
      </c>
      <c r="T182" s="382">
        <v>3400000</v>
      </c>
      <c r="U182" s="382">
        <f t="shared" si="139"/>
        <v>2488983.7066000002</v>
      </c>
      <c r="V182" s="35" t="s">
        <v>92</v>
      </c>
      <c r="W182" s="22" t="s">
        <v>78</v>
      </c>
      <c r="X182" s="27">
        <v>1</v>
      </c>
      <c r="Y182" s="27" t="s">
        <v>93</v>
      </c>
      <c r="Z182" s="27"/>
      <c r="AA182" s="16"/>
      <c r="AB182" s="393">
        <f t="shared" si="47"/>
        <v>16556.399999999998</v>
      </c>
      <c r="AC182" s="17"/>
      <c r="AD182" s="15">
        <f t="shared" si="140"/>
        <v>194.4</v>
      </c>
      <c r="AE182" s="10" t="s">
        <v>94</v>
      </c>
    </row>
    <row r="183" spans="1:31" s="36" customFormat="1" ht="15.75" customHeight="1">
      <c r="A183" s="18" t="s">
        <v>86</v>
      </c>
      <c r="B183" s="10" t="str">
        <f>VLOOKUP(A183,[1]Sheet1!$A:$B,2,0)</f>
        <v>MODI</v>
      </c>
      <c r="C183" s="20" t="s">
        <v>95</v>
      </c>
      <c r="D183" s="262">
        <v>310493196000</v>
      </c>
      <c r="E183" s="6" t="s">
        <v>74</v>
      </c>
      <c r="F183" s="10" t="s">
        <v>75</v>
      </c>
      <c r="G183" s="39" t="s">
        <v>76</v>
      </c>
      <c r="H183" s="40">
        <v>2024</v>
      </c>
      <c r="I183" s="334">
        <v>2</v>
      </c>
      <c r="J183" s="338">
        <v>45608</v>
      </c>
      <c r="K183" s="240"/>
      <c r="L183" s="400">
        <v>4.1200000000000001E-2</v>
      </c>
      <c r="M183" s="400">
        <v>5.2658333333333335E-2</v>
      </c>
      <c r="N183" s="405">
        <v>1.15E-2</v>
      </c>
      <c r="O183" s="371">
        <f t="shared" si="135"/>
        <v>0</v>
      </c>
      <c r="P183" s="370">
        <v>1</v>
      </c>
      <c r="Q183" s="370">
        <f t="shared" si="134"/>
        <v>4.1200000000000001E-2</v>
      </c>
      <c r="R183" s="23">
        <v>457773</v>
      </c>
      <c r="S183" s="15">
        <v>30734048</v>
      </c>
      <c r="T183" s="382">
        <v>1650000</v>
      </c>
      <c r="U183" s="382">
        <f t="shared" si="139"/>
        <v>1296558.4480000001</v>
      </c>
      <c r="V183" s="35" t="s">
        <v>92</v>
      </c>
      <c r="W183" s="22" t="s">
        <v>78</v>
      </c>
      <c r="X183" s="27">
        <v>0.47000000000000003</v>
      </c>
      <c r="Y183" s="27" t="s">
        <v>93</v>
      </c>
      <c r="Z183" s="27"/>
      <c r="AA183" s="16"/>
      <c r="AB183" s="393">
        <f t="shared" si="47"/>
        <v>24105.563225000002</v>
      </c>
      <c r="AC183" s="17"/>
      <c r="AD183" s="15">
        <f t="shared" si="140"/>
        <v>215.15331000000003</v>
      </c>
      <c r="AE183" s="10"/>
    </row>
    <row r="184" spans="1:31" s="36" customFormat="1" ht="15.75" customHeight="1">
      <c r="A184" s="18" t="s">
        <v>86</v>
      </c>
      <c r="B184" s="10" t="str">
        <f>VLOOKUP(A184,[1]Sheet1!$A:$B,2,0)</f>
        <v>MODI</v>
      </c>
      <c r="C184" s="20" t="s">
        <v>95</v>
      </c>
      <c r="D184" s="262">
        <v>310493196000</v>
      </c>
      <c r="E184" s="6" t="s">
        <v>74</v>
      </c>
      <c r="F184" s="10" t="s">
        <v>75</v>
      </c>
      <c r="G184" s="39" t="s">
        <v>76</v>
      </c>
      <c r="H184" s="40">
        <v>2024</v>
      </c>
      <c r="I184" s="334">
        <v>3</v>
      </c>
      <c r="J184" s="338">
        <v>45608</v>
      </c>
      <c r="K184" s="240"/>
      <c r="L184" s="400">
        <v>4.1200000000000001E-2</v>
      </c>
      <c r="M184" s="400">
        <v>5.2658333333333335E-2</v>
      </c>
      <c r="N184" s="405">
        <v>1.15E-2</v>
      </c>
      <c r="O184" s="371">
        <f t="shared" si="135"/>
        <v>0</v>
      </c>
      <c r="P184" s="370">
        <v>1</v>
      </c>
      <c r="Q184" s="370">
        <f t="shared" si="134"/>
        <v>4.1200000000000001E-2</v>
      </c>
      <c r="R184" s="23">
        <v>1333059</v>
      </c>
      <c r="S184" s="15">
        <v>32067107</v>
      </c>
      <c r="T184" s="382">
        <v>1650000</v>
      </c>
      <c r="U184" s="382">
        <f t="shared" si="139"/>
        <v>1281228.2694999999</v>
      </c>
      <c r="V184" s="35" t="s">
        <v>92</v>
      </c>
      <c r="W184" s="22" t="s">
        <v>78</v>
      </c>
      <c r="X184" s="27">
        <v>0.47000000000000003</v>
      </c>
      <c r="Y184" s="27" t="s">
        <v>93</v>
      </c>
      <c r="Z184" s="27"/>
      <c r="AA184" s="16"/>
      <c r="AB184" s="393">
        <f t="shared" si="47"/>
        <v>70196.665175000002</v>
      </c>
      <c r="AC184" s="17"/>
      <c r="AD184" s="15">
        <f t="shared" si="140"/>
        <v>626.53773000000001</v>
      </c>
      <c r="AE184" s="10"/>
    </row>
    <row r="185" spans="1:31" s="36" customFormat="1" ht="15.75" customHeight="1">
      <c r="A185" s="18" t="s">
        <v>86</v>
      </c>
      <c r="B185" s="10" t="str">
        <f>VLOOKUP(A185,[1]Sheet1!$A:$B,2,0)</f>
        <v>MODI</v>
      </c>
      <c r="C185" s="20" t="s">
        <v>95</v>
      </c>
      <c r="D185" s="262">
        <v>310493196000</v>
      </c>
      <c r="E185" s="6" t="s">
        <v>74</v>
      </c>
      <c r="F185" s="10" t="s">
        <v>75</v>
      </c>
      <c r="G185" s="39" t="s">
        <v>76</v>
      </c>
      <c r="H185" s="40">
        <v>2024</v>
      </c>
      <c r="I185" s="334">
        <v>4</v>
      </c>
      <c r="J185" s="338">
        <v>45608</v>
      </c>
      <c r="K185" s="240"/>
      <c r="L185" s="400">
        <v>4.1200000000000001E-2</v>
      </c>
      <c r="M185" s="400">
        <v>5.2658333333333335E-2</v>
      </c>
      <c r="N185" s="405">
        <v>1.15E-2</v>
      </c>
      <c r="O185" s="371">
        <f t="shared" si="135"/>
        <v>0</v>
      </c>
      <c r="P185" s="370">
        <v>1</v>
      </c>
      <c r="Q185" s="370">
        <f t="shared" si="134"/>
        <v>4.1200000000000001E-2</v>
      </c>
      <c r="R185" s="23">
        <v>1090347</v>
      </c>
      <c r="S185" s="15">
        <v>33157454</v>
      </c>
      <c r="T185" s="382">
        <v>1650000</v>
      </c>
      <c r="U185" s="382">
        <f t="shared" si="139"/>
        <v>1268689.2790000001</v>
      </c>
      <c r="V185" s="35" t="s">
        <v>92</v>
      </c>
      <c r="W185" s="22" t="s">
        <v>78</v>
      </c>
      <c r="X185" s="27">
        <v>0.47000000000000003</v>
      </c>
      <c r="Y185" s="27" t="s">
        <v>93</v>
      </c>
      <c r="Z185" s="27"/>
      <c r="AA185" s="16"/>
      <c r="AB185" s="393">
        <f t="shared" si="47"/>
        <v>57415.855775000004</v>
      </c>
      <c r="AC185" s="17"/>
      <c r="AD185" s="15">
        <f t="shared" si="140"/>
        <v>512.46309000000008</v>
      </c>
      <c r="AE185" s="10"/>
    </row>
    <row r="186" spans="1:31" s="36" customFormat="1" ht="15.75" customHeight="1">
      <c r="A186" s="18" t="s">
        <v>86</v>
      </c>
      <c r="B186" s="10" t="str">
        <f>VLOOKUP(A186,[1]Sheet1!$A:$B,2,0)</f>
        <v>MODI</v>
      </c>
      <c r="C186" s="20" t="s">
        <v>95</v>
      </c>
      <c r="D186" s="262">
        <v>310493196000</v>
      </c>
      <c r="E186" s="6" t="s">
        <v>74</v>
      </c>
      <c r="F186" s="10" t="s">
        <v>75</v>
      </c>
      <c r="G186" s="39" t="s">
        <v>76</v>
      </c>
      <c r="H186" s="40">
        <v>2024</v>
      </c>
      <c r="I186" s="334">
        <v>5</v>
      </c>
      <c r="J186" s="338">
        <v>45608</v>
      </c>
      <c r="K186" s="240"/>
      <c r="L186" s="400">
        <v>4.1200000000000001E-2</v>
      </c>
      <c r="M186" s="400">
        <v>5.2658333333333335E-2</v>
      </c>
      <c r="N186" s="405">
        <v>1.15E-2</v>
      </c>
      <c r="O186" s="371">
        <f t="shared" si="135"/>
        <v>0</v>
      </c>
      <c r="P186" s="370">
        <v>1</v>
      </c>
      <c r="Q186" s="370">
        <f t="shared" si="134"/>
        <v>4.1200000000000001E-2</v>
      </c>
      <c r="R186" s="23">
        <v>894956</v>
      </c>
      <c r="S186" s="15">
        <v>34052410</v>
      </c>
      <c r="T186" s="382">
        <v>1650000</v>
      </c>
      <c r="U186" s="382">
        <f t="shared" si="139"/>
        <v>1258397.2850000001</v>
      </c>
      <c r="V186" s="35" t="s">
        <v>92</v>
      </c>
      <c r="W186" s="22" t="s">
        <v>78</v>
      </c>
      <c r="X186" s="27">
        <v>0.47000000000000003</v>
      </c>
      <c r="Y186" s="27" t="s">
        <v>93</v>
      </c>
      <c r="Z186" s="27"/>
      <c r="AA186" s="16"/>
      <c r="AB186" s="393">
        <f t="shared" si="47"/>
        <v>47126.89136666667</v>
      </c>
      <c r="AC186" s="17"/>
      <c r="AD186" s="15">
        <f t="shared" si="140"/>
        <v>420.62932000000001</v>
      </c>
      <c r="AE186" s="10"/>
    </row>
    <row r="187" spans="1:31" s="36" customFormat="1" ht="15.75" customHeight="1">
      <c r="A187" s="18" t="s">
        <v>86</v>
      </c>
      <c r="B187" s="10" t="str">
        <f>VLOOKUP(A187,[1]Sheet1!$A:$B,2,0)</f>
        <v>MODI</v>
      </c>
      <c r="C187" s="20" t="s">
        <v>95</v>
      </c>
      <c r="D187" s="262">
        <v>310493196000</v>
      </c>
      <c r="E187" s="6" t="s">
        <v>74</v>
      </c>
      <c r="F187" s="10" t="s">
        <v>75</v>
      </c>
      <c r="G187" s="39" t="s">
        <v>76</v>
      </c>
      <c r="H187" s="40">
        <v>2024</v>
      </c>
      <c r="I187" s="334">
        <v>6</v>
      </c>
      <c r="J187" s="338">
        <v>45608</v>
      </c>
      <c r="K187" s="240"/>
      <c r="L187" s="400">
        <v>4.1200000000000001E-2</v>
      </c>
      <c r="M187" s="400">
        <v>5.2658333333333335E-2</v>
      </c>
      <c r="N187" s="405">
        <v>1.15E-2</v>
      </c>
      <c r="O187" s="371">
        <f t="shared" si="135"/>
        <v>0</v>
      </c>
      <c r="P187" s="370">
        <v>1</v>
      </c>
      <c r="Q187" s="370">
        <f t="shared" si="134"/>
        <v>4.1200000000000001E-2</v>
      </c>
      <c r="R187" s="23">
        <v>640841</v>
      </c>
      <c r="S187" s="15">
        <v>34693251</v>
      </c>
      <c r="T187" s="382">
        <v>1650000</v>
      </c>
      <c r="U187" s="382">
        <f t="shared" si="139"/>
        <v>1251027.6135</v>
      </c>
      <c r="V187" s="35" t="s">
        <v>92</v>
      </c>
      <c r="W187" s="22" t="s">
        <v>78</v>
      </c>
      <c r="X187" s="27">
        <v>0.47000000000000003</v>
      </c>
      <c r="Y187" s="27" t="s">
        <v>93</v>
      </c>
      <c r="Z187" s="27"/>
      <c r="AA187" s="16"/>
      <c r="AB187" s="393">
        <f t="shared" si="47"/>
        <v>33745.61899166667</v>
      </c>
      <c r="AC187" s="17"/>
      <c r="AD187" s="15">
        <f t="shared" si="140"/>
        <v>301.19526999999999</v>
      </c>
      <c r="AE187" s="10"/>
    </row>
    <row r="188" spans="1:31" s="36" customFormat="1" ht="15.75" customHeight="1">
      <c r="A188" s="18" t="s">
        <v>86</v>
      </c>
      <c r="B188" s="10" t="str">
        <f>VLOOKUP(A188,[1]Sheet1!$A:$B,2,0)</f>
        <v>MODI</v>
      </c>
      <c r="C188" s="20" t="s">
        <v>95</v>
      </c>
      <c r="D188" s="262">
        <v>310493196000</v>
      </c>
      <c r="E188" s="6" t="s">
        <v>74</v>
      </c>
      <c r="F188" s="10" t="s">
        <v>75</v>
      </c>
      <c r="G188" s="39" t="s">
        <v>76</v>
      </c>
      <c r="H188" s="40">
        <v>2024</v>
      </c>
      <c r="I188" s="334">
        <v>7</v>
      </c>
      <c r="J188" s="338">
        <v>45608</v>
      </c>
      <c r="K188" s="240"/>
      <c r="L188" s="400">
        <v>4.1200000000000001E-2</v>
      </c>
      <c r="M188" s="400">
        <v>5.2658333333333335E-2</v>
      </c>
      <c r="N188" s="405">
        <v>1.15E-2</v>
      </c>
      <c r="O188" s="371">
        <f t="shared" si="135"/>
        <v>0</v>
      </c>
      <c r="P188" s="370">
        <v>1</v>
      </c>
      <c r="Q188" s="370">
        <f t="shared" si="134"/>
        <v>4.1200000000000001E-2</v>
      </c>
      <c r="R188" s="23">
        <v>397252</v>
      </c>
      <c r="S188" s="15">
        <v>35090503</v>
      </c>
      <c r="T188" s="382">
        <v>1650000</v>
      </c>
      <c r="U188" s="382">
        <f t="shared" si="139"/>
        <v>1246459.2154999999</v>
      </c>
      <c r="V188" s="35" t="s">
        <v>92</v>
      </c>
      <c r="W188" s="22" t="s">
        <v>78</v>
      </c>
      <c r="X188" s="27">
        <v>0.47000000000000003</v>
      </c>
      <c r="Y188" s="27" t="s">
        <v>93</v>
      </c>
      <c r="Z188" s="27"/>
      <c r="AA188" s="16"/>
      <c r="AB188" s="393">
        <f t="shared" si="47"/>
        <v>20918.628233333333</v>
      </c>
      <c r="AC188" s="17"/>
      <c r="AD188" s="15">
        <f t="shared" si="140"/>
        <v>186.70844</v>
      </c>
      <c r="AE188" s="10"/>
    </row>
    <row r="189" spans="1:31" s="36" customFormat="1" ht="15.75" customHeight="1">
      <c r="A189" s="18" t="s">
        <v>86</v>
      </c>
      <c r="B189" s="10" t="str">
        <f>VLOOKUP(A189,[1]Sheet1!$A:$B,2,0)</f>
        <v>MODI</v>
      </c>
      <c r="C189" s="20" t="s">
        <v>95</v>
      </c>
      <c r="D189" s="262">
        <v>310493196000</v>
      </c>
      <c r="E189" s="6" t="s">
        <v>74</v>
      </c>
      <c r="F189" s="10" t="s">
        <v>75</v>
      </c>
      <c r="G189" s="39" t="s">
        <v>76</v>
      </c>
      <c r="H189" s="40">
        <v>2024</v>
      </c>
      <c r="I189" s="334">
        <v>8</v>
      </c>
      <c r="J189" s="338">
        <v>45608</v>
      </c>
      <c r="K189" s="240"/>
      <c r="L189" s="400">
        <v>4.1200000000000001E-2</v>
      </c>
      <c r="M189" s="400">
        <v>5.2658333333333335E-2</v>
      </c>
      <c r="N189" s="405">
        <v>1.15E-2</v>
      </c>
      <c r="O189" s="371">
        <f t="shared" si="135"/>
        <v>0</v>
      </c>
      <c r="P189" s="370">
        <v>1</v>
      </c>
      <c r="Q189" s="370">
        <f t="shared" si="134"/>
        <v>4.1200000000000001E-2</v>
      </c>
      <c r="R189" s="23">
        <v>180002</v>
      </c>
      <c r="S189" s="15">
        <v>35270505</v>
      </c>
      <c r="T189" s="382">
        <v>1650000</v>
      </c>
      <c r="U189" s="382">
        <f t="shared" si="139"/>
        <v>1244389.1924999999</v>
      </c>
      <c r="V189" s="35" t="s">
        <v>92</v>
      </c>
      <c r="W189" s="22" t="s">
        <v>78</v>
      </c>
      <c r="X189" s="27">
        <v>0.47000000000000003</v>
      </c>
      <c r="Y189" s="27" t="s">
        <v>93</v>
      </c>
      <c r="Z189" s="27"/>
      <c r="AA189" s="16"/>
      <c r="AB189" s="393">
        <f t="shared" si="47"/>
        <v>9478.6053166666661</v>
      </c>
      <c r="AC189" s="17"/>
      <c r="AD189" s="15">
        <f t="shared" si="140"/>
        <v>84.600940000000008</v>
      </c>
      <c r="AE189" s="10"/>
    </row>
    <row r="190" spans="1:31" s="55" customFormat="1" ht="15.75" customHeight="1">
      <c r="A190" s="56" t="s">
        <v>80</v>
      </c>
      <c r="B190" s="48" t="str">
        <f>VLOOKUP(A190,[1]Sheet1!$A:$B,2,0)</f>
        <v>RCS POD</v>
      </c>
      <c r="C190" s="22" t="s">
        <v>73</v>
      </c>
      <c r="D190" s="22">
        <v>390000214</v>
      </c>
      <c r="E190" s="22" t="s">
        <v>74</v>
      </c>
      <c r="F190" s="48" t="s">
        <v>75</v>
      </c>
      <c r="G190" s="49" t="s">
        <v>76</v>
      </c>
      <c r="H190" s="50">
        <v>2024</v>
      </c>
      <c r="I190" s="334">
        <v>2</v>
      </c>
      <c r="J190" s="338">
        <v>45608</v>
      </c>
      <c r="K190" s="249"/>
      <c r="L190" s="399">
        <v>0.28260000000000002</v>
      </c>
      <c r="M190" s="399">
        <v>0.28260000000000002</v>
      </c>
      <c r="N190" s="404">
        <v>0</v>
      </c>
      <c r="O190" s="371">
        <f t="shared" si="135"/>
        <v>0</v>
      </c>
      <c r="P190" s="370">
        <v>1</v>
      </c>
      <c r="Q190" s="370">
        <f t="shared" si="134"/>
        <v>0.28260000000000002</v>
      </c>
      <c r="R190" s="51">
        <v>1021117</v>
      </c>
      <c r="S190" s="33">
        <v>246473544</v>
      </c>
      <c r="T190" s="382">
        <v>9824000</v>
      </c>
      <c r="U190" s="382">
        <f>U52</f>
        <v>3393146.4125999995</v>
      </c>
      <c r="V190" s="22" t="s">
        <v>77</v>
      </c>
      <c r="W190" s="22" t="s">
        <v>78</v>
      </c>
      <c r="X190" s="52">
        <v>3.51</v>
      </c>
      <c r="Y190" s="52" t="s">
        <v>79</v>
      </c>
      <c r="Z190" s="52"/>
      <c r="AA190" s="53"/>
      <c r="AB190" s="392">
        <f t="shared" si="47"/>
        <v>288567.6642</v>
      </c>
      <c r="AC190" s="54"/>
      <c r="AD190" s="33">
        <f t="shared" si="140"/>
        <v>3584.1206699999998</v>
      </c>
      <c r="AE190" s="48"/>
    </row>
    <row r="191" spans="1:31" s="55" customFormat="1" ht="15.75" customHeight="1">
      <c r="A191" s="56" t="s">
        <v>80</v>
      </c>
      <c r="B191" s="48" t="str">
        <f>VLOOKUP(A191,[1]Sheet1!$A:$B,2,0)</f>
        <v>RCS POD</v>
      </c>
      <c r="C191" s="22" t="s">
        <v>73</v>
      </c>
      <c r="D191" s="22">
        <v>390000214</v>
      </c>
      <c r="E191" s="22" t="s">
        <v>74</v>
      </c>
      <c r="F191" s="48" t="s">
        <v>75</v>
      </c>
      <c r="G191" s="49" t="s">
        <v>76</v>
      </c>
      <c r="H191" s="50">
        <v>2024</v>
      </c>
      <c r="I191" s="334">
        <v>3</v>
      </c>
      <c r="J191" s="338">
        <v>45608</v>
      </c>
      <c r="K191" s="249"/>
      <c r="L191" s="399">
        <v>0.28260000000000002</v>
      </c>
      <c r="M191" s="399">
        <v>0.28260000000000002</v>
      </c>
      <c r="N191" s="404">
        <v>0</v>
      </c>
      <c r="O191" s="371">
        <f t="shared" si="135"/>
        <v>0</v>
      </c>
      <c r="P191" s="370">
        <v>1</v>
      </c>
      <c r="Q191" s="370">
        <f t="shared" si="134"/>
        <v>0.28260000000000002</v>
      </c>
      <c r="R191" s="51">
        <v>3725324</v>
      </c>
      <c r="S191" s="33">
        <v>250198868</v>
      </c>
      <c r="T191" s="382">
        <v>9824000</v>
      </c>
      <c r="U191" s="382">
        <f t="shared" ref="U191:U196" si="141">U190</f>
        <v>3393146.4125999995</v>
      </c>
      <c r="V191" s="22" t="s">
        <v>77</v>
      </c>
      <c r="W191" s="22" t="s">
        <v>78</v>
      </c>
      <c r="X191" s="52">
        <v>3.51</v>
      </c>
      <c r="Y191" s="52" t="s">
        <v>79</v>
      </c>
      <c r="Z191" s="52"/>
      <c r="AA191" s="53"/>
      <c r="AB191" s="392">
        <f t="shared" si="47"/>
        <v>1052776.5624000002</v>
      </c>
      <c r="AC191" s="54"/>
      <c r="AD191" s="33">
        <f t="shared" si="140"/>
        <v>13075.887239999998</v>
      </c>
      <c r="AE191" s="48"/>
    </row>
    <row r="192" spans="1:31" s="55" customFormat="1" ht="15.75" customHeight="1">
      <c r="A192" s="56" t="s">
        <v>80</v>
      </c>
      <c r="B192" s="48" t="str">
        <f>VLOOKUP(A192,[1]Sheet1!$A:$B,2,0)</f>
        <v>RCS POD</v>
      </c>
      <c r="C192" s="22" t="s">
        <v>73</v>
      </c>
      <c r="D192" s="22">
        <v>390000214</v>
      </c>
      <c r="E192" s="22" t="s">
        <v>74</v>
      </c>
      <c r="F192" s="48" t="s">
        <v>75</v>
      </c>
      <c r="G192" s="49" t="s">
        <v>76</v>
      </c>
      <c r="H192" s="50">
        <v>2024</v>
      </c>
      <c r="I192" s="334">
        <v>4</v>
      </c>
      <c r="J192" s="338">
        <v>45608</v>
      </c>
      <c r="K192" s="249"/>
      <c r="L192" s="399">
        <v>0.28260000000000002</v>
      </c>
      <c r="M192" s="399">
        <v>0.28260000000000002</v>
      </c>
      <c r="N192" s="404">
        <v>0</v>
      </c>
      <c r="O192" s="371">
        <f t="shared" si="135"/>
        <v>0</v>
      </c>
      <c r="P192" s="370">
        <v>1</v>
      </c>
      <c r="Q192" s="370">
        <f t="shared" si="134"/>
        <v>0.28260000000000002</v>
      </c>
      <c r="R192" s="51">
        <v>3289726</v>
      </c>
      <c r="S192" s="33">
        <v>253607594</v>
      </c>
      <c r="T192" s="382">
        <v>9824000</v>
      </c>
      <c r="U192" s="382">
        <f t="shared" si="141"/>
        <v>3393146.4125999995</v>
      </c>
      <c r="V192" s="22" t="s">
        <v>77</v>
      </c>
      <c r="W192" s="22" t="s">
        <v>78</v>
      </c>
      <c r="X192" s="52">
        <v>3.51</v>
      </c>
      <c r="Y192" s="52" t="s">
        <v>79</v>
      </c>
      <c r="Z192" s="52"/>
      <c r="AA192" s="53"/>
      <c r="AB192" s="392">
        <f t="shared" si="47"/>
        <v>929676.56760000007</v>
      </c>
      <c r="AC192" s="54"/>
      <c r="AD192" s="33">
        <f t="shared" ref="AD192:AD226" si="142">R192*X192/1000</f>
        <v>11546.938259999999</v>
      </c>
      <c r="AE192" s="48"/>
    </row>
    <row r="193" spans="1:31" s="55" customFormat="1" ht="15.75" customHeight="1">
      <c r="A193" s="56" t="s">
        <v>80</v>
      </c>
      <c r="B193" s="48" t="str">
        <f>VLOOKUP(A193,[1]Sheet1!$A:$B,2,0)</f>
        <v>RCS POD</v>
      </c>
      <c r="C193" s="22" t="s">
        <v>73</v>
      </c>
      <c r="D193" s="22">
        <v>390000214</v>
      </c>
      <c r="E193" s="22" t="s">
        <v>74</v>
      </c>
      <c r="F193" s="48" t="s">
        <v>75</v>
      </c>
      <c r="G193" s="49" t="s">
        <v>76</v>
      </c>
      <c r="H193" s="50">
        <v>2024</v>
      </c>
      <c r="I193" s="334">
        <v>5</v>
      </c>
      <c r="J193" s="338">
        <v>45608</v>
      </c>
      <c r="K193" s="249"/>
      <c r="L193" s="399">
        <v>0.28260000000000002</v>
      </c>
      <c r="M193" s="399">
        <v>0.28260000000000002</v>
      </c>
      <c r="N193" s="404">
        <v>0</v>
      </c>
      <c r="O193" s="371">
        <f t="shared" si="135"/>
        <v>0</v>
      </c>
      <c r="P193" s="370">
        <v>1</v>
      </c>
      <c r="Q193" s="370">
        <f t="shared" si="134"/>
        <v>0.28260000000000002</v>
      </c>
      <c r="R193" s="51">
        <v>2929780</v>
      </c>
      <c r="S193" s="33">
        <v>256537374</v>
      </c>
      <c r="T193" s="382">
        <v>9824000</v>
      </c>
      <c r="U193" s="382">
        <f t="shared" si="141"/>
        <v>3393146.4125999995</v>
      </c>
      <c r="V193" s="22" t="s">
        <v>77</v>
      </c>
      <c r="W193" s="22" t="s">
        <v>78</v>
      </c>
      <c r="X193" s="52">
        <v>3.51</v>
      </c>
      <c r="Y193" s="52" t="s">
        <v>79</v>
      </c>
      <c r="Z193" s="52"/>
      <c r="AA193" s="53"/>
      <c r="AB193" s="392">
        <f t="shared" ref="AB193:AB226" si="143">M193*R193</f>
        <v>827955.8280000001</v>
      </c>
      <c r="AC193" s="54"/>
      <c r="AD193" s="33">
        <f t="shared" si="142"/>
        <v>10283.527799999998</v>
      </c>
      <c r="AE193" s="48"/>
    </row>
    <row r="194" spans="1:31" s="55" customFormat="1" ht="15.75" customHeight="1">
      <c r="A194" s="56" t="s">
        <v>80</v>
      </c>
      <c r="B194" s="48" t="str">
        <f>VLOOKUP(A194,[1]Sheet1!$A:$B,2,0)</f>
        <v>RCS POD</v>
      </c>
      <c r="C194" s="22" t="s">
        <v>73</v>
      </c>
      <c r="D194" s="22">
        <v>390000214</v>
      </c>
      <c r="E194" s="22" t="s">
        <v>74</v>
      </c>
      <c r="F194" s="48" t="s">
        <v>75</v>
      </c>
      <c r="G194" s="49" t="s">
        <v>76</v>
      </c>
      <c r="H194" s="50">
        <v>2024</v>
      </c>
      <c r="I194" s="334">
        <v>6</v>
      </c>
      <c r="J194" s="338">
        <v>45608</v>
      </c>
      <c r="K194" s="249"/>
      <c r="L194" s="399">
        <v>0.28260000000000002</v>
      </c>
      <c r="M194" s="399">
        <v>0.28260000000000002</v>
      </c>
      <c r="N194" s="404">
        <v>0</v>
      </c>
      <c r="O194" s="371">
        <f t="shared" si="135"/>
        <v>0</v>
      </c>
      <c r="P194" s="370">
        <v>1</v>
      </c>
      <c r="Q194" s="370">
        <f t="shared" si="134"/>
        <v>0.28260000000000002</v>
      </c>
      <c r="R194" s="51">
        <v>2142000</v>
      </c>
      <c r="S194" s="33">
        <v>258679374</v>
      </c>
      <c r="T194" s="382">
        <v>9824000</v>
      </c>
      <c r="U194" s="382">
        <f t="shared" si="141"/>
        <v>3393146.4125999995</v>
      </c>
      <c r="V194" s="22" t="s">
        <v>77</v>
      </c>
      <c r="W194" s="22" t="s">
        <v>78</v>
      </c>
      <c r="X194" s="52">
        <v>3.51</v>
      </c>
      <c r="Y194" s="52" t="s">
        <v>79</v>
      </c>
      <c r="Z194" s="52"/>
      <c r="AA194" s="53"/>
      <c r="AB194" s="392">
        <f t="shared" si="143"/>
        <v>605329.20000000007</v>
      </c>
      <c r="AC194" s="54"/>
      <c r="AD194" s="33">
        <f t="shared" si="142"/>
        <v>7518.42</v>
      </c>
      <c r="AE194" s="48"/>
    </row>
    <row r="195" spans="1:31" s="55" customFormat="1" ht="15.75" customHeight="1">
      <c r="A195" s="56" t="s">
        <v>80</v>
      </c>
      <c r="B195" s="48" t="str">
        <f>VLOOKUP(A195,[1]Sheet1!$A:$B,2,0)</f>
        <v>RCS POD</v>
      </c>
      <c r="C195" s="22" t="s">
        <v>73</v>
      </c>
      <c r="D195" s="22">
        <v>390000214</v>
      </c>
      <c r="E195" s="22" t="s">
        <v>74</v>
      </c>
      <c r="F195" s="48" t="s">
        <v>75</v>
      </c>
      <c r="G195" s="49" t="s">
        <v>76</v>
      </c>
      <c r="H195" s="50">
        <v>2024</v>
      </c>
      <c r="I195" s="334">
        <v>7</v>
      </c>
      <c r="J195" s="338">
        <v>45608</v>
      </c>
      <c r="K195" s="249"/>
      <c r="L195" s="399">
        <v>0.28260000000000002</v>
      </c>
      <c r="M195" s="399">
        <v>0.28260000000000002</v>
      </c>
      <c r="N195" s="404">
        <v>0</v>
      </c>
      <c r="O195" s="371">
        <f t="shared" si="135"/>
        <v>0</v>
      </c>
      <c r="P195" s="370">
        <v>1</v>
      </c>
      <c r="Q195" s="370">
        <f t="shared" si="134"/>
        <v>0.28260000000000002</v>
      </c>
      <c r="R195" s="51">
        <v>2751203</v>
      </c>
      <c r="S195" s="33">
        <v>261430577</v>
      </c>
      <c r="T195" s="382">
        <v>9824000</v>
      </c>
      <c r="U195" s="382">
        <f t="shared" si="141"/>
        <v>3393146.4125999995</v>
      </c>
      <c r="V195" s="22" t="s">
        <v>77</v>
      </c>
      <c r="W195" s="22" t="s">
        <v>78</v>
      </c>
      <c r="X195" s="52">
        <v>3.51</v>
      </c>
      <c r="Y195" s="52" t="s">
        <v>79</v>
      </c>
      <c r="Z195" s="52"/>
      <c r="AA195" s="53"/>
      <c r="AB195" s="392">
        <f t="shared" si="143"/>
        <v>777489.9678000001</v>
      </c>
      <c r="AC195" s="54"/>
      <c r="AD195" s="33">
        <f t="shared" si="142"/>
        <v>9656.7225299999991</v>
      </c>
      <c r="AE195" s="48"/>
    </row>
    <row r="196" spans="1:31" s="55" customFormat="1" ht="15.75" customHeight="1">
      <c r="A196" s="56" t="s">
        <v>80</v>
      </c>
      <c r="B196" s="48" t="str">
        <f>VLOOKUP(A196,[1]Sheet1!$A:$B,2,0)</f>
        <v>RCS POD</v>
      </c>
      <c r="C196" s="22" t="s">
        <v>73</v>
      </c>
      <c r="D196" s="22">
        <v>390000214</v>
      </c>
      <c r="E196" s="22" t="s">
        <v>74</v>
      </c>
      <c r="F196" s="48" t="s">
        <v>75</v>
      </c>
      <c r="G196" s="49" t="s">
        <v>76</v>
      </c>
      <c r="H196" s="50">
        <v>2024</v>
      </c>
      <c r="I196" s="334">
        <v>8</v>
      </c>
      <c r="J196" s="338">
        <v>45608</v>
      </c>
      <c r="K196" s="249"/>
      <c r="L196" s="399">
        <v>0.28260000000000002</v>
      </c>
      <c r="M196" s="399">
        <v>0.28260000000000002</v>
      </c>
      <c r="N196" s="404">
        <v>0</v>
      </c>
      <c r="O196" s="371">
        <f t="shared" si="135"/>
        <v>0</v>
      </c>
      <c r="P196" s="370">
        <v>1</v>
      </c>
      <c r="Q196" s="370">
        <f t="shared" si="134"/>
        <v>0.28260000000000002</v>
      </c>
      <c r="R196" s="51">
        <v>3491660</v>
      </c>
      <c r="S196" s="33">
        <v>264922237</v>
      </c>
      <c r="T196" s="382">
        <v>9824000</v>
      </c>
      <c r="U196" s="382">
        <f t="shared" si="141"/>
        <v>3393146.4125999995</v>
      </c>
      <c r="V196" s="22" t="s">
        <v>77</v>
      </c>
      <c r="W196" s="22" t="s">
        <v>78</v>
      </c>
      <c r="X196" s="52">
        <v>3.51</v>
      </c>
      <c r="Y196" s="52" t="s">
        <v>79</v>
      </c>
      <c r="Z196" s="52"/>
      <c r="AA196" s="53"/>
      <c r="AB196" s="392">
        <f t="shared" si="143"/>
        <v>986743.11600000004</v>
      </c>
      <c r="AC196" s="54"/>
      <c r="AD196" s="33">
        <f t="shared" si="142"/>
        <v>12255.7266</v>
      </c>
      <c r="AE196" s="48"/>
    </row>
    <row r="197" spans="1:31" s="55" customFormat="1" ht="15.75" customHeight="1">
      <c r="A197" s="56" t="s">
        <v>80</v>
      </c>
      <c r="B197" s="48" t="str">
        <f>VLOOKUP(A197,[1]Sheet1!$A:$B,2,0)</f>
        <v>RCS POD</v>
      </c>
      <c r="C197" s="248" t="s">
        <v>81</v>
      </c>
      <c r="D197" s="22">
        <v>390000221</v>
      </c>
      <c r="E197" s="22" t="s">
        <v>74</v>
      </c>
      <c r="F197" s="48" t="s">
        <v>75</v>
      </c>
      <c r="G197" s="49" t="s">
        <v>76</v>
      </c>
      <c r="H197" s="50">
        <v>2024</v>
      </c>
      <c r="I197" s="334">
        <v>2</v>
      </c>
      <c r="J197" s="338">
        <v>45608</v>
      </c>
      <c r="K197" s="249"/>
      <c r="L197" s="399">
        <v>0.1016</v>
      </c>
      <c r="M197" s="399">
        <v>0.1016</v>
      </c>
      <c r="N197" s="404">
        <v>0</v>
      </c>
      <c r="O197" s="371">
        <f t="shared" si="135"/>
        <v>0</v>
      </c>
      <c r="P197" s="370">
        <v>1</v>
      </c>
      <c r="Q197" s="370">
        <f t="shared" ref="Q197:Q265" si="144">P197*L197</f>
        <v>0.1016</v>
      </c>
      <c r="R197" s="51">
        <v>1507385</v>
      </c>
      <c r="S197" s="33">
        <v>237354429</v>
      </c>
      <c r="T197" s="382">
        <v>4280500</v>
      </c>
      <c r="U197" s="382">
        <f>U53</f>
        <v>-1898692.5528000006</v>
      </c>
      <c r="V197" s="22" t="s">
        <v>82</v>
      </c>
      <c r="W197" s="22" t="s">
        <v>78</v>
      </c>
      <c r="X197" s="52">
        <v>1.4</v>
      </c>
      <c r="Y197" s="52" t="s">
        <v>83</v>
      </c>
      <c r="Z197" s="52"/>
      <c r="AA197" s="53"/>
      <c r="AB197" s="392">
        <f t="shared" si="143"/>
        <v>153150.31599999999</v>
      </c>
      <c r="AC197" s="54"/>
      <c r="AD197" s="33">
        <f t="shared" si="142"/>
        <v>2110.3389999999999</v>
      </c>
      <c r="AE197" s="48"/>
    </row>
    <row r="198" spans="1:31" s="55" customFormat="1" ht="15.75" customHeight="1">
      <c r="A198" s="56" t="s">
        <v>80</v>
      </c>
      <c r="B198" s="48" t="str">
        <f>VLOOKUP(A198,[1]Sheet1!$A:$B,2,0)</f>
        <v>RCS POD</v>
      </c>
      <c r="C198" s="248" t="s">
        <v>81</v>
      </c>
      <c r="D198" s="22">
        <v>390000221</v>
      </c>
      <c r="E198" s="22" t="s">
        <v>74</v>
      </c>
      <c r="F198" s="48" t="s">
        <v>75</v>
      </c>
      <c r="G198" s="49" t="s">
        <v>76</v>
      </c>
      <c r="H198" s="50">
        <v>2024</v>
      </c>
      <c r="I198" s="334">
        <v>3</v>
      </c>
      <c r="J198" s="338">
        <v>45608</v>
      </c>
      <c r="K198" s="249"/>
      <c r="L198" s="399">
        <v>0.1016</v>
      </c>
      <c r="M198" s="399">
        <v>0.1016</v>
      </c>
      <c r="N198" s="404">
        <v>0</v>
      </c>
      <c r="O198" s="371">
        <f t="shared" si="135"/>
        <v>0</v>
      </c>
      <c r="P198" s="370">
        <v>1</v>
      </c>
      <c r="Q198" s="370">
        <f t="shared" si="144"/>
        <v>0.1016</v>
      </c>
      <c r="R198" s="51">
        <v>3637152</v>
      </c>
      <c r="S198" s="33">
        <v>240991581</v>
      </c>
      <c r="T198" s="382">
        <v>4280500</v>
      </c>
      <c r="U198" s="382">
        <f t="shared" ref="U198:U203" si="145">U197</f>
        <v>-1898692.5528000006</v>
      </c>
      <c r="V198" s="22" t="s">
        <v>82</v>
      </c>
      <c r="W198" s="22" t="s">
        <v>78</v>
      </c>
      <c r="X198" s="52">
        <v>1.4</v>
      </c>
      <c r="Y198" s="52" t="s">
        <v>83</v>
      </c>
      <c r="Z198" s="52"/>
      <c r="AA198" s="53"/>
      <c r="AB198" s="392">
        <f t="shared" si="143"/>
        <v>369534.64319999999</v>
      </c>
      <c r="AC198" s="54"/>
      <c r="AD198" s="33">
        <f t="shared" si="142"/>
        <v>5092.0127999999995</v>
      </c>
      <c r="AE198" s="48"/>
    </row>
    <row r="199" spans="1:31" s="55" customFormat="1" ht="15.75" customHeight="1">
      <c r="A199" s="56" t="s">
        <v>80</v>
      </c>
      <c r="B199" s="48" t="str">
        <f>VLOOKUP(A199,[1]Sheet1!$A:$B,2,0)</f>
        <v>RCS POD</v>
      </c>
      <c r="C199" s="248" t="s">
        <v>81</v>
      </c>
      <c r="D199" s="22">
        <v>390000221</v>
      </c>
      <c r="E199" s="22" t="s">
        <v>74</v>
      </c>
      <c r="F199" s="48" t="s">
        <v>75</v>
      </c>
      <c r="G199" s="49" t="s">
        <v>76</v>
      </c>
      <c r="H199" s="50">
        <v>2024</v>
      </c>
      <c r="I199" s="334">
        <v>4</v>
      </c>
      <c r="J199" s="338">
        <v>45608</v>
      </c>
      <c r="K199" s="249"/>
      <c r="L199" s="399">
        <v>0.1016</v>
      </c>
      <c r="M199" s="399">
        <v>0.1016</v>
      </c>
      <c r="N199" s="404">
        <v>0</v>
      </c>
      <c r="O199" s="371">
        <f t="shared" si="135"/>
        <v>0</v>
      </c>
      <c r="P199" s="370">
        <v>1</v>
      </c>
      <c r="Q199" s="370">
        <f t="shared" si="144"/>
        <v>0.1016</v>
      </c>
      <c r="R199" s="51">
        <v>2743085</v>
      </c>
      <c r="S199" s="33">
        <v>243734666</v>
      </c>
      <c r="T199" s="382">
        <v>4280500</v>
      </c>
      <c r="U199" s="382">
        <f t="shared" si="145"/>
        <v>-1898692.5528000006</v>
      </c>
      <c r="V199" s="22" t="s">
        <v>82</v>
      </c>
      <c r="W199" s="22" t="s">
        <v>78</v>
      </c>
      <c r="X199" s="52">
        <v>1.4</v>
      </c>
      <c r="Y199" s="52" t="s">
        <v>83</v>
      </c>
      <c r="Z199" s="52"/>
      <c r="AA199" s="53"/>
      <c r="AB199" s="392">
        <f t="shared" si="143"/>
        <v>278697.43599999999</v>
      </c>
      <c r="AC199" s="54"/>
      <c r="AD199" s="33">
        <f t="shared" si="142"/>
        <v>3840.3189999999995</v>
      </c>
      <c r="AE199" s="48"/>
    </row>
    <row r="200" spans="1:31" s="55" customFormat="1" ht="15.75" customHeight="1">
      <c r="A200" s="56" t="s">
        <v>80</v>
      </c>
      <c r="B200" s="48" t="str">
        <f>VLOOKUP(A200,[1]Sheet1!$A:$B,2,0)</f>
        <v>RCS POD</v>
      </c>
      <c r="C200" s="248" t="s">
        <v>81</v>
      </c>
      <c r="D200" s="22">
        <v>390000221</v>
      </c>
      <c r="E200" s="22" t="s">
        <v>74</v>
      </c>
      <c r="F200" s="48" t="s">
        <v>75</v>
      </c>
      <c r="G200" s="49" t="s">
        <v>76</v>
      </c>
      <c r="H200" s="50">
        <v>2024</v>
      </c>
      <c r="I200" s="334">
        <v>5</v>
      </c>
      <c r="J200" s="338">
        <v>45608</v>
      </c>
      <c r="K200" s="249"/>
      <c r="L200" s="399">
        <v>0.1016</v>
      </c>
      <c r="M200" s="399">
        <v>0.1016</v>
      </c>
      <c r="N200" s="404">
        <v>0</v>
      </c>
      <c r="O200" s="371">
        <f t="shared" ref="O200:O268" si="146">K200*N200</f>
        <v>0</v>
      </c>
      <c r="P200" s="370">
        <v>1</v>
      </c>
      <c r="Q200" s="370">
        <f t="shared" si="144"/>
        <v>0.1016</v>
      </c>
      <c r="R200" s="51">
        <v>3093416</v>
      </c>
      <c r="S200" s="33">
        <v>246828082</v>
      </c>
      <c r="T200" s="382">
        <v>4280500</v>
      </c>
      <c r="U200" s="382">
        <f t="shared" si="145"/>
        <v>-1898692.5528000006</v>
      </c>
      <c r="V200" s="22" t="s">
        <v>82</v>
      </c>
      <c r="W200" s="22" t="s">
        <v>78</v>
      </c>
      <c r="X200" s="52">
        <v>1.4</v>
      </c>
      <c r="Y200" s="52" t="s">
        <v>83</v>
      </c>
      <c r="Z200" s="52"/>
      <c r="AA200" s="53"/>
      <c r="AB200" s="392">
        <f t="shared" si="143"/>
        <v>314291.06559999997</v>
      </c>
      <c r="AC200" s="54"/>
      <c r="AD200" s="33">
        <f t="shared" si="142"/>
        <v>4330.7823999999991</v>
      </c>
      <c r="AE200" s="48"/>
    </row>
    <row r="201" spans="1:31" s="55" customFormat="1" ht="15.75" customHeight="1">
      <c r="A201" s="56" t="s">
        <v>80</v>
      </c>
      <c r="B201" s="48" t="str">
        <f>VLOOKUP(A201,[1]Sheet1!$A:$B,2,0)</f>
        <v>RCS POD</v>
      </c>
      <c r="C201" s="248" t="s">
        <v>81</v>
      </c>
      <c r="D201" s="22">
        <v>390000221</v>
      </c>
      <c r="E201" s="22" t="s">
        <v>74</v>
      </c>
      <c r="F201" s="48" t="s">
        <v>75</v>
      </c>
      <c r="G201" s="49" t="s">
        <v>76</v>
      </c>
      <c r="H201" s="50">
        <v>2024</v>
      </c>
      <c r="I201" s="334">
        <v>6</v>
      </c>
      <c r="J201" s="338">
        <v>45608</v>
      </c>
      <c r="K201" s="249"/>
      <c r="L201" s="399">
        <v>0.1016</v>
      </c>
      <c r="M201" s="399">
        <v>0.1016</v>
      </c>
      <c r="N201" s="404">
        <v>0</v>
      </c>
      <c r="O201" s="371">
        <f t="shared" si="146"/>
        <v>0</v>
      </c>
      <c r="P201" s="370">
        <v>1</v>
      </c>
      <c r="Q201" s="370">
        <f t="shared" si="144"/>
        <v>0.1016</v>
      </c>
      <c r="R201" s="51">
        <v>1967407</v>
      </c>
      <c r="S201" s="33">
        <v>248795489</v>
      </c>
      <c r="T201" s="382">
        <v>4280500</v>
      </c>
      <c r="U201" s="382">
        <f t="shared" si="145"/>
        <v>-1898692.5528000006</v>
      </c>
      <c r="V201" s="22" t="s">
        <v>82</v>
      </c>
      <c r="W201" s="22" t="s">
        <v>78</v>
      </c>
      <c r="X201" s="52">
        <v>1.4</v>
      </c>
      <c r="Y201" s="52" t="s">
        <v>83</v>
      </c>
      <c r="Z201" s="52"/>
      <c r="AA201" s="53"/>
      <c r="AB201" s="392">
        <f t="shared" si="143"/>
        <v>199888.55119999999</v>
      </c>
      <c r="AC201" s="54"/>
      <c r="AD201" s="33">
        <f t="shared" si="142"/>
        <v>2754.3697999999999</v>
      </c>
      <c r="AE201" s="48"/>
    </row>
    <row r="202" spans="1:31" s="55" customFormat="1" ht="15.75" customHeight="1">
      <c r="A202" s="56" t="s">
        <v>80</v>
      </c>
      <c r="B202" s="48" t="str">
        <f>VLOOKUP(A202,[1]Sheet1!$A:$B,2,0)</f>
        <v>RCS POD</v>
      </c>
      <c r="C202" s="248" t="s">
        <v>81</v>
      </c>
      <c r="D202" s="22">
        <v>390000221</v>
      </c>
      <c r="E202" s="22" t="s">
        <v>74</v>
      </c>
      <c r="F202" s="48" t="s">
        <v>75</v>
      </c>
      <c r="G202" s="49" t="s">
        <v>76</v>
      </c>
      <c r="H202" s="50">
        <v>2024</v>
      </c>
      <c r="I202" s="334">
        <v>7</v>
      </c>
      <c r="J202" s="338">
        <v>45608</v>
      </c>
      <c r="K202" s="249"/>
      <c r="L202" s="399">
        <v>0.1016</v>
      </c>
      <c r="M202" s="399">
        <v>0.1016</v>
      </c>
      <c r="N202" s="404">
        <v>0</v>
      </c>
      <c r="O202" s="371">
        <f t="shared" si="146"/>
        <v>0</v>
      </c>
      <c r="P202" s="370">
        <v>1</v>
      </c>
      <c r="Q202" s="370">
        <f t="shared" si="144"/>
        <v>0.1016</v>
      </c>
      <c r="R202" s="51">
        <v>2544000</v>
      </c>
      <c r="S202" s="33">
        <v>251339489</v>
      </c>
      <c r="T202" s="382">
        <v>4280500</v>
      </c>
      <c r="U202" s="382">
        <f t="shared" si="145"/>
        <v>-1898692.5528000006</v>
      </c>
      <c r="V202" s="22" t="s">
        <v>82</v>
      </c>
      <c r="W202" s="22" t="s">
        <v>78</v>
      </c>
      <c r="X202" s="52">
        <v>1.4</v>
      </c>
      <c r="Y202" s="52" t="s">
        <v>83</v>
      </c>
      <c r="Z202" s="52"/>
      <c r="AA202" s="53"/>
      <c r="AB202" s="392">
        <f t="shared" si="143"/>
        <v>258470.39999999999</v>
      </c>
      <c r="AC202" s="54"/>
      <c r="AD202" s="33">
        <f t="shared" si="142"/>
        <v>3561.6</v>
      </c>
      <c r="AE202" s="48"/>
    </row>
    <row r="203" spans="1:31" s="55" customFormat="1" ht="15.75" customHeight="1">
      <c r="A203" s="56" t="s">
        <v>80</v>
      </c>
      <c r="B203" s="48" t="str">
        <f>VLOOKUP(A203,[1]Sheet1!$A:$B,2,0)</f>
        <v>RCS POD</v>
      </c>
      <c r="C203" s="248" t="s">
        <v>81</v>
      </c>
      <c r="D203" s="22">
        <v>390000221</v>
      </c>
      <c r="E203" s="22" t="s">
        <v>74</v>
      </c>
      <c r="F203" s="48" t="s">
        <v>75</v>
      </c>
      <c r="G203" s="49" t="s">
        <v>76</v>
      </c>
      <c r="H203" s="50">
        <v>2024</v>
      </c>
      <c r="I203" s="334">
        <v>8</v>
      </c>
      <c r="J203" s="338">
        <v>45608</v>
      </c>
      <c r="K203" s="249"/>
      <c r="L203" s="399">
        <v>0.1016</v>
      </c>
      <c r="M203" s="399">
        <v>0.1016</v>
      </c>
      <c r="N203" s="404">
        <v>0</v>
      </c>
      <c r="O203" s="371">
        <f t="shared" si="146"/>
        <v>0</v>
      </c>
      <c r="P203" s="370">
        <v>1</v>
      </c>
      <c r="Q203" s="370">
        <f t="shared" si="144"/>
        <v>0.1016</v>
      </c>
      <c r="R203" s="51">
        <v>2712000</v>
      </c>
      <c r="S203" s="33">
        <v>254051489</v>
      </c>
      <c r="T203" s="382">
        <v>4280500</v>
      </c>
      <c r="U203" s="382">
        <f t="shared" si="145"/>
        <v>-1898692.5528000006</v>
      </c>
      <c r="V203" s="22" t="s">
        <v>82</v>
      </c>
      <c r="W203" s="22" t="s">
        <v>78</v>
      </c>
      <c r="X203" s="52">
        <v>1.4</v>
      </c>
      <c r="Y203" s="52" t="s">
        <v>83</v>
      </c>
      <c r="Z203" s="52"/>
      <c r="AA203" s="53"/>
      <c r="AB203" s="392">
        <f t="shared" si="143"/>
        <v>275539.20000000001</v>
      </c>
      <c r="AC203" s="54"/>
      <c r="AD203" s="33">
        <f t="shared" si="142"/>
        <v>3796.7999999999997</v>
      </c>
      <c r="AE203" s="48"/>
    </row>
    <row r="204" spans="1:31" s="55" customFormat="1" ht="15.75" customHeight="1">
      <c r="A204" s="56" t="s">
        <v>80</v>
      </c>
      <c r="B204" s="48" t="str">
        <f>VLOOKUP(A204,[1]Sheet1!$A:$B,2,0)</f>
        <v>RCS POD</v>
      </c>
      <c r="C204" s="22" t="s">
        <v>84</v>
      </c>
      <c r="D204" s="22">
        <v>390000215</v>
      </c>
      <c r="E204" s="22" t="s">
        <v>74</v>
      </c>
      <c r="F204" s="48" t="s">
        <v>75</v>
      </c>
      <c r="G204" s="49" t="s">
        <v>76</v>
      </c>
      <c r="H204" s="50">
        <v>2024</v>
      </c>
      <c r="I204" s="334">
        <v>2</v>
      </c>
      <c r="J204" s="338">
        <v>45608</v>
      </c>
      <c r="K204" s="249"/>
      <c r="L204" s="399">
        <v>9.9199999999999997E-2</v>
      </c>
      <c r="M204" s="399">
        <v>9.9199999999999997E-2</v>
      </c>
      <c r="N204" s="404">
        <v>0</v>
      </c>
      <c r="O204" s="371">
        <f t="shared" si="146"/>
        <v>0</v>
      </c>
      <c r="P204" s="370">
        <v>1</v>
      </c>
      <c r="Q204" s="370">
        <f t="shared" si="144"/>
        <v>9.9199999999999997E-2</v>
      </c>
      <c r="R204" s="51">
        <v>1542824</v>
      </c>
      <c r="S204" s="33">
        <v>241490755</v>
      </c>
      <c r="T204" s="382">
        <v>4592000</v>
      </c>
      <c r="U204" s="382">
        <f>U54</f>
        <v>-1694635.7922</v>
      </c>
      <c r="V204" s="22" t="s">
        <v>77</v>
      </c>
      <c r="W204" s="22" t="s">
        <v>78</v>
      </c>
      <c r="X204" s="52">
        <v>1.53</v>
      </c>
      <c r="Y204" s="52" t="s">
        <v>79</v>
      </c>
      <c r="Z204" s="52"/>
      <c r="AA204" s="53"/>
      <c r="AB204" s="392">
        <f t="shared" si="143"/>
        <v>153048.14079999999</v>
      </c>
      <c r="AC204" s="54"/>
      <c r="AD204" s="33">
        <f t="shared" si="142"/>
        <v>2360.52072</v>
      </c>
      <c r="AE204" s="48"/>
    </row>
    <row r="205" spans="1:31" s="55" customFormat="1" ht="15.75" customHeight="1">
      <c r="A205" s="56" t="s">
        <v>80</v>
      </c>
      <c r="B205" s="48" t="str">
        <f>VLOOKUP(A205,[1]Sheet1!$A:$B,2,0)</f>
        <v>RCS POD</v>
      </c>
      <c r="C205" s="22" t="s">
        <v>84</v>
      </c>
      <c r="D205" s="22">
        <v>390000215</v>
      </c>
      <c r="E205" s="22" t="s">
        <v>74</v>
      </c>
      <c r="F205" s="48" t="s">
        <v>75</v>
      </c>
      <c r="G205" s="49" t="s">
        <v>76</v>
      </c>
      <c r="H205" s="50">
        <v>2024</v>
      </c>
      <c r="I205" s="334">
        <v>3</v>
      </c>
      <c r="J205" s="338">
        <v>45608</v>
      </c>
      <c r="K205" s="249"/>
      <c r="L205" s="399">
        <v>9.9199999999999997E-2</v>
      </c>
      <c r="M205" s="399">
        <v>9.9199999999999997E-2</v>
      </c>
      <c r="N205" s="404">
        <v>0</v>
      </c>
      <c r="O205" s="371">
        <f t="shared" si="146"/>
        <v>0</v>
      </c>
      <c r="P205" s="370">
        <v>1</v>
      </c>
      <c r="Q205" s="370">
        <f t="shared" si="144"/>
        <v>9.9199999999999997E-2</v>
      </c>
      <c r="R205" s="51">
        <v>4009079</v>
      </c>
      <c r="S205" s="33">
        <v>245499834</v>
      </c>
      <c r="T205" s="382">
        <v>4592000</v>
      </c>
      <c r="U205" s="382">
        <f t="shared" ref="U205:U210" si="147">U204</f>
        <v>-1694635.7922</v>
      </c>
      <c r="V205" s="22" t="s">
        <v>77</v>
      </c>
      <c r="W205" s="22" t="s">
        <v>78</v>
      </c>
      <c r="X205" s="52">
        <v>1.53</v>
      </c>
      <c r="Y205" s="52" t="s">
        <v>79</v>
      </c>
      <c r="Z205" s="52"/>
      <c r="AA205" s="53"/>
      <c r="AB205" s="392">
        <f t="shared" si="143"/>
        <v>397700.63679999998</v>
      </c>
      <c r="AC205" s="54"/>
      <c r="AD205" s="33">
        <f t="shared" si="142"/>
        <v>6133.8908700000002</v>
      </c>
      <c r="AE205" s="48"/>
    </row>
    <row r="206" spans="1:31" s="55" customFormat="1" ht="15.75" customHeight="1">
      <c r="A206" s="56" t="s">
        <v>80</v>
      </c>
      <c r="B206" s="48" t="str">
        <f>VLOOKUP(A206,[1]Sheet1!$A:$B,2,0)</f>
        <v>RCS POD</v>
      </c>
      <c r="C206" s="22" t="s">
        <v>84</v>
      </c>
      <c r="D206" s="22">
        <v>390000215</v>
      </c>
      <c r="E206" s="22" t="s">
        <v>74</v>
      </c>
      <c r="F206" s="48" t="s">
        <v>75</v>
      </c>
      <c r="G206" s="49" t="s">
        <v>76</v>
      </c>
      <c r="H206" s="50">
        <v>2024</v>
      </c>
      <c r="I206" s="334">
        <v>4</v>
      </c>
      <c r="J206" s="338">
        <v>45608</v>
      </c>
      <c r="K206" s="249"/>
      <c r="L206" s="399">
        <v>9.9199999999999997E-2</v>
      </c>
      <c r="M206" s="399">
        <v>9.9199999999999997E-2</v>
      </c>
      <c r="N206" s="404">
        <v>0</v>
      </c>
      <c r="O206" s="371">
        <f t="shared" si="146"/>
        <v>0</v>
      </c>
      <c r="P206" s="370">
        <v>1</v>
      </c>
      <c r="Q206" s="370">
        <f t="shared" si="144"/>
        <v>9.9199999999999997E-2</v>
      </c>
      <c r="R206" s="51">
        <v>2923573</v>
      </c>
      <c r="S206" s="33">
        <v>248423407</v>
      </c>
      <c r="T206" s="382">
        <v>4592000</v>
      </c>
      <c r="U206" s="382">
        <f t="shared" si="147"/>
        <v>-1694635.7922</v>
      </c>
      <c r="V206" s="22" t="s">
        <v>77</v>
      </c>
      <c r="W206" s="22" t="s">
        <v>78</v>
      </c>
      <c r="X206" s="52">
        <v>1.53</v>
      </c>
      <c r="Y206" s="52" t="s">
        <v>79</v>
      </c>
      <c r="Z206" s="52"/>
      <c r="AA206" s="53"/>
      <c r="AB206" s="392">
        <f t="shared" si="143"/>
        <v>290018.44159999996</v>
      </c>
      <c r="AC206" s="54"/>
      <c r="AD206" s="33">
        <f t="shared" si="142"/>
        <v>4473.0666900000006</v>
      </c>
      <c r="AE206" s="48"/>
    </row>
    <row r="207" spans="1:31" s="55" customFormat="1" ht="15.75" customHeight="1">
      <c r="A207" s="56" t="s">
        <v>80</v>
      </c>
      <c r="B207" s="48" t="str">
        <f>VLOOKUP(A207,[1]Sheet1!$A:$B,2,0)</f>
        <v>RCS POD</v>
      </c>
      <c r="C207" s="22" t="s">
        <v>84</v>
      </c>
      <c r="D207" s="22">
        <v>390000215</v>
      </c>
      <c r="E207" s="22" t="s">
        <v>74</v>
      </c>
      <c r="F207" s="48" t="s">
        <v>75</v>
      </c>
      <c r="G207" s="49" t="s">
        <v>76</v>
      </c>
      <c r="H207" s="50">
        <v>2024</v>
      </c>
      <c r="I207" s="334">
        <v>5</v>
      </c>
      <c r="J207" s="338">
        <v>45608</v>
      </c>
      <c r="K207" s="249"/>
      <c r="L207" s="399">
        <v>9.9199999999999997E-2</v>
      </c>
      <c r="M207" s="399">
        <v>9.9199999999999997E-2</v>
      </c>
      <c r="N207" s="404">
        <v>0</v>
      </c>
      <c r="O207" s="371">
        <f t="shared" si="146"/>
        <v>0</v>
      </c>
      <c r="P207" s="370">
        <v>1</v>
      </c>
      <c r="Q207" s="370">
        <f t="shared" si="144"/>
        <v>9.9199999999999997E-2</v>
      </c>
      <c r="R207" s="51">
        <v>2880000</v>
      </c>
      <c r="S207" s="33">
        <v>251303407</v>
      </c>
      <c r="T207" s="382">
        <v>4592000</v>
      </c>
      <c r="U207" s="382">
        <f t="shared" si="147"/>
        <v>-1694635.7922</v>
      </c>
      <c r="V207" s="22" t="s">
        <v>77</v>
      </c>
      <c r="W207" s="22" t="s">
        <v>78</v>
      </c>
      <c r="X207" s="52">
        <v>1.53</v>
      </c>
      <c r="Y207" s="52" t="s">
        <v>79</v>
      </c>
      <c r="Z207" s="52"/>
      <c r="AA207" s="53"/>
      <c r="AB207" s="392">
        <f t="shared" si="143"/>
        <v>285696</v>
      </c>
      <c r="AC207" s="54"/>
      <c r="AD207" s="33">
        <f t="shared" si="142"/>
        <v>4406.3999999999996</v>
      </c>
      <c r="AE207" s="48"/>
    </row>
    <row r="208" spans="1:31" s="55" customFormat="1" ht="15.75" customHeight="1">
      <c r="A208" s="56" t="s">
        <v>80</v>
      </c>
      <c r="B208" s="48" t="str">
        <f>VLOOKUP(A208,[1]Sheet1!$A:$B,2,0)</f>
        <v>RCS POD</v>
      </c>
      <c r="C208" s="22" t="s">
        <v>84</v>
      </c>
      <c r="D208" s="22">
        <v>390000215</v>
      </c>
      <c r="E208" s="22" t="s">
        <v>74</v>
      </c>
      <c r="F208" s="48" t="s">
        <v>75</v>
      </c>
      <c r="G208" s="49" t="s">
        <v>76</v>
      </c>
      <c r="H208" s="50">
        <v>2024</v>
      </c>
      <c r="I208" s="334">
        <v>6</v>
      </c>
      <c r="J208" s="338">
        <v>45608</v>
      </c>
      <c r="K208" s="249"/>
      <c r="L208" s="399">
        <v>9.9199999999999997E-2</v>
      </c>
      <c r="M208" s="399">
        <v>9.9199999999999997E-2</v>
      </c>
      <c r="N208" s="404">
        <v>0</v>
      </c>
      <c r="O208" s="371">
        <f t="shared" si="146"/>
        <v>0</v>
      </c>
      <c r="P208" s="370">
        <v>1</v>
      </c>
      <c r="Q208" s="370">
        <f t="shared" si="144"/>
        <v>9.9199999999999997E-2</v>
      </c>
      <c r="R208" s="51">
        <v>1900000</v>
      </c>
      <c r="S208" s="33">
        <v>253203407</v>
      </c>
      <c r="T208" s="382">
        <v>4592000</v>
      </c>
      <c r="U208" s="382">
        <f t="shared" si="147"/>
        <v>-1694635.7922</v>
      </c>
      <c r="V208" s="22" t="s">
        <v>77</v>
      </c>
      <c r="W208" s="22" t="s">
        <v>78</v>
      </c>
      <c r="X208" s="52">
        <v>1.53</v>
      </c>
      <c r="Y208" s="52" t="s">
        <v>79</v>
      </c>
      <c r="Z208" s="52"/>
      <c r="AA208" s="53"/>
      <c r="AB208" s="392">
        <f t="shared" si="143"/>
        <v>188480</v>
      </c>
      <c r="AC208" s="54"/>
      <c r="AD208" s="33">
        <f t="shared" si="142"/>
        <v>2907</v>
      </c>
      <c r="AE208" s="48"/>
    </row>
    <row r="209" spans="1:31" s="55" customFormat="1" ht="15.75" customHeight="1">
      <c r="A209" s="56" t="s">
        <v>80</v>
      </c>
      <c r="B209" s="48" t="str">
        <f>VLOOKUP(A209,[1]Sheet1!$A:$B,2,0)</f>
        <v>RCS POD</v>
      </c>
      <c r="C209" s="22" t="s">
        <v>84</v>
      </c>
      <c r="D209" s="22">
        <v>390000215</v>
      </c>
      <c r="E209" s="22" t="s">
        <v>74</v>
      </c>
      <c r="F209" s="48" t="s">
        <v>75</v>
      </c>
      <c r="G209" s="49" t="s">
        <v>76</v>
      </c>
      <c r="H209" s="50">
        <v>2024</v>
      </c>
      <c r="I209" s="334">
        <v>7</v>
      </c>
      <c r="J209" s="338">
        <v>45608</v>
      </c>
      <c r="K209" s="249"/>
      <c r="L209" s="399">
        <v>9.9199999999999997E-2</v>
      </c>
      <c r="M209" s="399">
        <v>9.9199999999999997E-2</v>
      </c>
      <c r="N209" s="404">
        <v>0</v>
      </c>
      <c r="O209" s="371">
        <f t="shared" si="146"/>
        <v>0</v>
      </c>
      <c r="P209" s="370">
        <v>1</v>
      </c>
      <c r="Q209" s="370">
        <f t="shared" si="144"/>
        <v>9.9199999999999997E-2</v>
      </c>
      <c r="R209" s="51">
        <v>3000000</v>
      </c>
      <c r="S209" s="33">
        <v>256203407</v>
      </c>
      <c r="T209" s="382">
        <v>4592000</v>
      </c>
      <c r="U209" s="382">
        <f t="shared" si="147"/>
        <v>-1694635.7922</v>
      </c>
      <c r="V209" s="22" t="s">
        <v>77</v>
      </c>
      <c r="W209" s="22" t="s">
        <v>78</v>
      </c>
      <c r="X209" s="52">
        <v>1.53</v>
      </c>
      <c r="Y209" s="52" t="s">
        <v>79</v>
      </c>
      <c r="Z209" s="52"/>
      <c r="AA209" s="53"/>
      <c r="AB209" s="392">
        <f t="shared" si="143"/>
        <v>297600</v>
      </c>
      <c r="AC209" s="54"/>
      <c r="AD209" s="33">
        <f t="shared" si="142"/>
        <v>4590</v>
      </c>
      <c r="AE209" s="48"/>
    </row>
    <row r="210" spans="1:31" s="55" customFormat="1" ht="15.75" customHeight="1">
      <c r="A210" s="56" t="s">
        <v>80</v>
      </c>
      <c r="B210" s="48" t="str">
        <f>VLOOKUP(A210,[1]Sheet1!$A:$B,2,0)</f>
        <v>RCS POD</v>
      </c>
      <c r="C210" s="22" t="s">
        <v>84</v>
      </c>
      <c r="D210" s="22">
        <v>390000215</v>
      </c>
      <c r="E210" s="22" t="s">
        <v>74</v>
      </c>
      <c r="F210" s="48" t="s">
        <v>75</v>
      </c>
      <c r="G210" s="49" t="s">
        <v>76</v>
      </c>
      <c r="H210" s="50">
        <v>2024</v>
      </c>
      <c r="I210" s="334">
        <v>8</v>
      </c>
      <c r="J210" s="338">
        <v>45608</v>
      </c>
      <c r="K210" s="249"/>
      <c r="L210" s="399">
        <v>9.9199999999999997E-2</v>
      </c>
      <c r="M210" s="399">
        <v>9.9199999999999997E-2</v>
      </c>
      <c r="N210" s="404">
        <v>0</v>
      </c>
      <c r="O210" s="371">
        <f t="shared" si="146"/>
        <v>0</v>
      </c>
      <c r="P210" s="370">
        <v>1</v>
      </c>
      <c r="Q210" s="370">
        <f t="shared" si="144"/>
        <v>9.9199999999999997E-2</v>
      </c>
      <c r="R210" s="51">
        <v>2751150</v>
      </c>
      <c r="S210" s="33">
        <v>258954557</v>
      </c>
      <c r="T210" s="382">
        <v>4592000</v>
      </c>
      <c r="U210" s="382">
        <f t="shared" si="147"/>
        <v>-1694635.7922</v>
      </c>
      <c r="V210" s="22" t="s">
        <v>77</v>
      </c>
      <c r="W210" s="22" t="s">
        <v>78</v>
      </c>
      <c r="X210" s="52">
        <v>1.53</v>
      </c>
      <c r="Y210" s="52" t="s">
        <v>79</v>
      </c>
      <c r="Z210" s="52"/>
      <c r="AA210" s="53"/>
      <c r="AB210" s="392">
        <f t="shared" si="143"/>
        <v>272914.08</v>
      </c>
      <c r="AC210" s="54"/>
      <c r="AD210" s="33">
        <f t="shared" si="142"/>
        <v>4209.2595000000001</v>
      </c>
      <c r="AE210" s="48"/>
    </row>
    <row r="211" spans="1:31" s="55" customFormat="1" ht="15.75" customHeight="1">
      <c r="A211" s="56" t="s">
        <v>72</v>
      </c>
      <c r="B211" s="48" t="str">
        <f>VLOOKUP(A211,[1]Sheet1!$A:$B,2,0)</f>
        <v>RCS POD</v>
      </c>
      <c r="C211" s="22" t="s">
        <v>85</v>
      </c>
      <c r="D211" s="22">
        <v>390000216</v>
      </c>
      <c r="E211" s="22" t="s">
        <v>74</v>
      </c>
      <c r="F211" s="48" t="s">
        <v>75</v>
      </c>
      <c r="G211" s="49" t="s">
        <v>76</v>
      </c>
      <c r="H211" s="50">
        <v>2024</v>
      </c>
      <c r="I211" s="334">
        <v>2</v>
      </c>
      <c r="J211" s="338">
        <v>45608</v>
      </c>
      <c r="K211" s="249"/>
      <c r="L211" s="399">
        <v>0.1105</v>
      </c>
      <c r="M211" s="399">
        <v>0.1105</v>
      </c>
      <c r="N211" s="404">
        <v>0</v>
      </c>
      <c r="O211" s="371">
        <f t="shared" si="146"/>
        <v>0</v>
      </c>
      <c r="P211" s="370">
        <v>1</v>
      </c>
      <c r="Q211" s="370">
        <f t="shared" si="144"/>
        <v>0.1105</v>
      </c>
      <c r="R211" s="51">
        <v>1542824</v>
      </c>
      <c r="S211" s="33">
        <v>242667164</v>
      </c>
      <c r="T211" s="382">
        <v>4830000</v>
      </c>
      <c r="U211" s="382">
        <f>U55</f>
        <v>-1487457.7080000006</v>
      </c>
      <c r="V211" s="22" t="s">
        <v>77</v>
      </c>
      <c r="W211" s="22" t="s">
        <v>78</v>
      </c>
      <c r="X211" s="52">
        <v>1.3</v>
      </c>
      <c r="Y211" s="52" t="s">
        <v>79</v>
      </c>
      <c r="Z211" s="52"/>
      <c r="AA211" s="53"/>
      <c r="AB211" s="392">
        <f t="shared" si="143"/>
        <v>170482.052</v>
      </c>
      <c r="AC211" s="54"/>
      <c r="AD211" s="33">
        <f t="shared" si="142"/>
        <v>2005.6712</v>
      </c>
      <c r="AE211" s="48"/>
    </row>
    <row r="212" spans="1:31" s="55" customFormat="1" ht="15.75" customHeight="1">
      <c r="A212" s="56" t="s">
        <v>80</v>
      </c>
      <c r="B212" s="48" t="str">
        <f>VLOOKUP(A212,[1]Sheet1!$A:$B,2,0)</f>
        <v>RCS POD</v>
      </c>
      <c r="C212" s="22" t="s">
        <v>85</v>
      </c>
      <c r="D212" s="22">
        <v>390000216</v>
      </c>
      <c r="E212" s="22" t="s">
        <v>74</v>
      </c>
      <c r="F212" s="48" t="s">
        <v>75</v>
      </c>
      <c r="G212" s="49" t="s">
        <v>76</v>
      </c>
      <c r="H212" s="50">
        <v>2024</v>
      </c>
      <c r="I212" s="334">
        <v>3</v>
      </c>
      <c r="J212" s="338">
        <v>45608</v>
      </c>
      <c r="K212" s="249"/>
      <c r="L212" s="399">
        <v>0.1105</v>
      </c>
      <c r="M212" s="399">
        <v>0.1105</v>
      </c>
      <c r="N212" s="404">
        <v>0</v>
      </c>
      <c r="O212" s="371">
        <f t="shared" si="146"/>
        <v>0</v>
      </c>
      <c r="P212" s="370">
        <v>1</v>
      </c>
      <c r="Q212" s="370">
        <f t="shared" si="144"/>
        <v>0.1105</v>
      </c>
      <c r="R212" s="51">
        <v>4033079</v>
      </c>
      <c r="S212" s="33">
        <v>246700243</v>
      </c>
      <c r="T212" s="382">
        <v>4830000</v>
      </c>
      <c r="U212" s="382">
        <f t="shared" ref="U212:U217" si="148">U211</f>
        <v>-1487457.7080000006</v>
      </c>
      <c r="V212" s="22" t="s">
        <v>77</v>
      </c>
      <c r="W212" s="22" t="s">
        <v>78</v>
      </c>
      <c r="X212" s="52">
        <v>1.3</v>
      </c>
      <c r="Y212" s="52" t="s">
        <v>79</v>
      </c>
      <c r="Z212" s="52"/>
      <c r="AA212" s="53"/>
      <c r="AB212" s="392">
        <f t="shared" si="143"/>
        <v>445655.22950000002</v>
      </c>
      <c r="AC212" s="54"/>
      <c r="AD212" s="33">
        <f t="shared" si="142"/>
        <v>5243.0027</v>
      </c>
      <c r="AE212" s="48"/>
    </row>
    <row r="213" spans="1:31" s="55" customFormat="1" ht="15.75" customHeight="1">
      <c r="A213" s="56" t="s">
        <v>80</v>
      </c>
      <c r="B213" s="48" t="str">
        <f>VLOOKUP(A213,[1]Sheet1!$A:$B,2,0)</f>
        <v>RCS POD</v>
      </c>
      <c r="C213" s="22" t="s">
        <v>85</v>
      </c>
      <c r="D213" s="22">
        <v>390000216</v>
      </c>
      <c r="E213" s="22" t="s">
        <v>74</v>
      </c>
      <c r="F213" s="48" t="s">
        <v>75</v>
      </c>
      <c r="G213" s="49" t="s">
        <v>76</v>
      </c>
      <c r="H213" s="50">
        <v>2024</v>
      </c>
      <c r="I213" s="334">
        <v>4</v>
      </c>
      <c r="J213" s="338">
        <v>45608</v>
      </c>
      <c r="K213" s="249"/>
      <c r="L213" s="399">
        <v>0.1105</v>
      </c>
      <c r="M213" s="399">
        <v>0.1105</v>
      </c>
      <c r="N213" s="404">
        <v>0</v>
      </c>
      <c r="O213" s="371">
        <f t="shared" si="146"/>
        <v>0</v>
      </c>
      <c r="P213" s="370">
        <v>1</v>
      </c>
      <c r="Q213" s="370">
        <f t="shared" si="144"/>
        <v>0.1105</v>
      </c>
      <c r="R213" s="51">
        <v>2908053</v>
      </c>
      <c r="S213" s="33">
        <v>249608296</v>
      </c>
      <c r="T213" s="382">
        <v>4830000</v>
      </c>
      <c r="U213" s="382">
        <f t="shared" si="148"/>
        <v>-1487457.7080000006</v>
      </c>
      <c r="V213" s="22" t="s">
        <v>77</v>
      </c>
      <c r="W213" s="22" t="s">
        <v>78</v>
      </c>
      <c r="X213" s="52">
        <v>1.3</v>
      </c>
      <c r="Y213" s="52" t="s">
        <v>79</v>
      </c>
      <c r="Z213" s="52"/>
      <c r="AA213" s="53"/>
      <c r="AB213" s="392">
        <f t="shared" si="143"/>
        <v>321339.85649999999</v>
      </c>
      <c r="AC213" s="54"/>
      <c r="AD213" s="33">
        <f t="shared" si="142"/>
        <v>3780.4688999999998</v>
      </c>
      <c r="AE213" s="48"/>
    </row>
    <row r="214" spans="1:31" s="55" customFormat="1" ht="15.75" customHeight="1">
      <c r="A214" s="56" t="s">
        <v>80</v>
      </c>
      <c r="B214" s="48" t="str">
        <f>VLOOKUP(A214,[1]Sheet1!$A:$B,2,0)</f>
        <v>RCS POD</v>
      </c>
      <c r="C214" s="22" t="s">
        <v>85</v>
      </c>
      <c r="D214" s="22">
        <v>390000216</v>
      </c>
      <c r="E214" s="22" t="s">
        <v>74</v>
      </c>
      <c r="F214" s="48" t="s">
        <v>75</v>
      </c>
      <c r="G214" s="49" t="s">
        <v>76</v>
      </c>
      <c r="H214" s="50">
        <v>2024</v>
      </c>
      <c r="I214" s="334">
        <v>5</v>
      </c>
      <c r="J214" s="338">
        <v>45608</v>
      </c>
      <c r="K214" s="249"/>
      <c r="L214" s="399">
        <v>0.1105</v>
      </c>
      <c r="M214" s="399">
        <v>0.1105</v>
      </c>
      <c r="N214" s="404">
        <v>0</v>
      </c>
      <c r="O214" s="371">
        <f t="shared" si="146"/>
        <v>0</v>
      </c>
      <c r="P214" s="370">
        <v>1</v>
      </c>
      <c r="Q214" s="370">
        <f t="shared" si="144"/>
        <v>0.1105</v>
      </c>
      <c r="R214" s="51">
        <v>2850000</v>
      </c>
      <c r="S214" s="33">
        <v>252458296</v>
      </c>
      <c r="T214" s="382">
        <v>4830000</v>
      </c>
      <c r="U214" s="382">
        <f t="shared" si="148"/>
        <v>-1487457.7080000006</v>
      </c>
      <c r="V214" s="22" t="s">
        <v>77</v>
      </c>
      <c r="W214" s="22" t="s">
        <v>78</v>
      </c>
      <c r="X214" s="52">
        <v>1.3</v>
      </c>
      <c r="Y214" s="52" t="s">
        <v>79</v>
      </c>
      <c r="Z214" s="52"/>
      <c r="AA214" s="53"/>
      <c r="AB214" s="392">
        <f t="shared" si="143"/>
        <v>314925</v>
      </c>
      <c r="AC214" s="54"/>
      <c r="AD214" s="33">
        <f t="shared" si="142"/>
        <v>3705</v>
      </c>
      <c r="AE214" s="48"/>
    </row>
    <row r="215" spans="1:31" s="55" customFormat="1" ht="15.75" customHeight="1">
      <c r="A215" s="56" t="s">
        <v>80</v>
      </c>
      <c r="B215" s="48" t="str">
        <f>VLOOKUP(A215,[1]Sheet1!$A:$B,2,0)</f>
        <v>RCS POD</v>
      </c>
      <c r="C215" s="22" t="s">
        <v>85</v>
      </c>
      <c r="D215" s="22">
        <v>390000216</v>
      </c>
      <c r="E215" s="22" t="s">
        <v>74</v>
      </c>
      <c r="F215" s="48" t="s">
        <v>75</v>
      </c>
      <c r="G215" s="49" t="s">
        <v>76</v>
      </c>
      <c r="H215" s="50">
        <v>2024</v>
      </c>
      <c r="I215" s="334">
        <v>6</v>
      </c>
      <c r="J215" s="338">
        <v>45608</v>
      </c>
      <c r="K215" s="249"/>
      <c r="L215" s="399">
        <v>0.1105</v>
      </c>
      <c r="M215" s="399">
        <v>0.1105</v>
      </c>
      <c r="N215" s="404">
        <v>0</v>
      </c>
      <c r="O215" s="371">
        <f t="shared" si="146"/>
        <v>0</v>
      </c>
      <c r="P215" s="370">
        <v>1</v>
      </c>
      <c r="Q215" s="370">
        <f t="shared" si="144"/>
        <v>0.1105</v>
      </c>
      <c r="R215" s="51">
        <v>1890000</v>
      </c>
      <c r="S215" s="33">
        <v>254348296</v>
      </c>
      <c r="T215" s="382">
        <v>4830000</v>
      </c>
      <c r="U215" s="382">
        <f t="shared" si="148"/>
        <v>-1487457.7080000006</v>
      </c>
      <c r="V215" s="22" t="s">
        <v>77</v>
      </c>
      <c r="W215" s="22" t="s">
        <v>78</v>
      </c>
      <c r="X215" s="52">
        <v>1.3</v>
      </c>
      <c r="Y215" s="52" t="s">
        <v>79</v>
      </c>
      <c r="Z215" s="52"/>
      <c r="AA215" s="53"/>
      <c r="AB215" s="392">
        <f t="shared" si="143"/>
        <v>208845</v>
      </c>
      <c r="AC215" s="54"/>
      <c r="AD215" s="33">
        <f t="shared" si="142"/>
        <v>2457</v>
      </c>
      <c r="AE215" s="48"/>
    </row>
    <row r="216" spans="1:31" s="55" customFormat="1" ht="15.75" customHeight="1">
      <c r="A216" s="56" t="s">
        <v>80</v>
      </c>
      <c r="B216" s="48" t="str">
        <f>VLOOKUP(A216,[1]Sheet1!$A:$B,2,0)</f>
        <v>RCS POD</v>
      </c>
      <c r="C216" s="22" t="s">
        <v>85</v>
      </c>
      <c r="D216" s="22">
        <v>390000216</v>
      </c>
      <c r="E216" s="22" t="s">
        <v>74</v>
      </c>
      <c r="F216" s="48" t="s">
        <v>75</v>
      </c>
      <c r="G216" s="49" t="s">
        <v>76</v>
      </c>
      <c r="H216" s="50">
        <v>2024</v>
      </c>
      <c r="I216" s="334">
        <v>7</v>
      </c>
      <c r="J216" s="338">
        <v>45608</v>
      </c>
      <c r="K216" s="249"/>
      <c r="L216" s="399">
        <v>0.1105</v>
      </c>
      <c r="M216" s="399">
        <v>0.1105</v>
      </c>
      <c r="N216" s="404">
        <v>0</v>
      </c>
      <c r="O216" s="371">
        <f t="shared" si="146"/>
        <v>0</v>
      </c>
      <c r="P216" s="370">
        <v>1</v>
      </c>
      <c r="Q216" s="370">
        <f t="shared" si="144"/>
        <v>0.1105</v>
      </c>
      <c r="R216" s="51">
        <v>2880000</v>
      </c>
      <c r="S216" s="33">
        <v>257228296</v>
      </c>
      <c r="T216" s="382">
        <v>4830000</v>
      </c>
      <c r="U216" s="382">
        <f t="shared" si="148"/>
        <v>-1487457.7080000006</v>
      </c>
      <c r="V216" s="22" t="s">
        <v>77</v>
      </c>
      <c r="W216" s="22" t="s">
        <v>78</v>
      </c>
      <c r="X216" s="52">
        <v>1.3</v>
      </c>
      <c r="Y216" s="52" t="s">
        <v>79</v>
      </c>
      <c r="Z216" s="52"/>
      <c r="AA216" s="53"/>
      <c r="AB216" s="392">
        <f t="shared" si="143"/>
        <v>318240</v>
      </c>
      <c r="AC216" s="54"/>
      <c r="AD216" s="33">
        <f t="shared" si="142"/>
        <v>3744</v>
      </c>
      <c r="AE216" s="48"/>
    </row>
    <row r="217" spans="1:31" s="55" customFormat="1" ht="15.75" customHeight="1">
      <c r="A217" s="56" t="s">
        <v>80</v>
      </c>
      <c r="B217" s="48" t="str">
        <f>VLOOKUP(A217,[1]Sheet1!$A:$B,2,0)</f>
        <v>RCS POD</v>
      </c>
      <c r="C217" s="22" t="s">
        <v>85</v>
      </c>
      <c r="D217" s="22">
        <v>390000216</v>
      </c>
      <c r="E217" s="22" t="s">
        <v>74</v>
      </c>
      <c r="F217" s="48" t="s">
        <v>75</v>
      </c>
      <c r="G217" s="49" t="s">
        <v>76</v>
      </c>
      <c r="H217" s="50">
        <v>2024</v>
      </c>
      <c r="I217" s="334">
        <v>8</v>
      </c>
      <c r="J217" s="338">
        <v>45608</v>
      </c>
      <c r="K217" s="249"/>
      <c r="L217" s="399">
        <v>0.1105</v>
      </c>
      <c r="M217" s="399">
        <v>0.1105</v>
      </c>
      <c r="N217" s="404">
        <v>0</v>
      </c>
      <c r="O217" s="371">
        <f t="shared" si="146"/>
        <v>0</v>
      </c>
      <c r="P217" s="370">
        <v>1</v>
      </c>
      <c r="Q217" s="370">
        <f t="shared" si="144"/>
        <v>0.1105</v>
      </c>
      <c r="R217" s="51">
        <v>2828951</v>
      </c>
      <c r="S217" s="33">
        <v>260057247</v>
      </c>
      <c r="T217" s="382">
        <v>4830000</v>
      </c>
      <c r="U217" s="382">
        <f t="shared" si="148"/>
        <v>-1487457.7080000006</v>
      </c>
      <c r="V217" s="22" t="s">
        <v>77</v>
      </c>
      <c r="W217" s="22" t="s">
        <v>78</v>
      </c>
      <c r="X217" s="52">
        <v>1.3</v>
      </c>
      <c r="Y217" s="52" t="s">
        <v>79</v>
      </c>
      <c r="Z217" s="52"/>
      <c r="AA217" s="53"/>
      <c r="AB217" s="392">
        <f t="shared" si="143"/>
        <v>312599.08549999999</v>
      </c>
      <c r="AC217" s="54"/>
      <c r="AD217" s="33">
        <f t="shared" si="142"/>
        <v>3677.6363000000001</v>
      </c>
      <c r="AE217" s="48"/>
    </row>
    <row r="218" spans="1:31" s="361" customFormat="1" ht="15.75" customHeight="1">
      <c r="A218" s="347" t="s">
        <v>18</v>
      </c>
      <c r="B218" s="348" t="str">
        <f>VLOOKUP(A218,[1]Sheet1!$A:$B,2,0)</f>
        <v>RCS POD</v>
      </c>
      <c r="C218" s="347" t="s">
        <v>100</v>
      </c>
      <c r="D218" s="350">
        <v>130040670029868</v>
      </c>
      <c r="E218" s="347" t="s">
        <v>74</v>
      </c>
      <c r="F218" s="348" t="s">
        <v>75</v>
      </c>
      <c r="G218" s="351" t="s">
        <v>76</v>
      </c>
      <c r="H218" s="352">
        <v>2024</v>
      </c>
      <c r="I218" s="353">
        <v>4</v>
      </c>
      <c r="J218" s="354">
        <v>45660</v>
      </c>
      <c r="K218" s="355"/>
      <c r="L218" s="401">
        <v>0.18390000000000001</v>
      </c>
      <c r="M218" s="401">
        <v>0.21870000000000001</v>
      </c>
      <c r="N218" s="406">
        <f>0.0213+0.0118</f>
        <v>3.3099999999999997E-2</v>
      </c>
      <c r="O218" s="372">
        <f t="shared" ref="O218" si="149">K218*N218</f>
        <v>0</v>
      </c>
      <c r="P218" s="373">
        <v>1</v>
      </c>
      <c r="Q218" s="373">
        <f t="shared" ref="Q218" si="150">P218*L218</f>
        <v>0.18390000000000001</v>
      </c>
      <c r="R218" s="356">
        <v>2775779</v>
      </c>
      <c r="S218" s="357">
        <f>R218</f>
        <v>2775779</v>
      </c>
      <c r="T218" s="383">
        <v>8913207</v>
      </c>
      <c r="U218" s="383">
        <f>T218-N218*S218</f>
        <v>8821328.7150999997</v>
      </c>
      <c r="V218" s="347" t="s">
        <v>101</v>
      </c>
      <c r="W218" s="22" t="s">
        <v>78</v>
      </c>
      <c r="X218" s="358">
        <v>3.8</v>
      </c>
      <c r="Y218" s="347" t="s">
        <v>102</v>
      </c>
      <c r="Z218" s="347"/>
      <c r="AA218" s="359"/>
      <c r="AB218" s="394">
        <f t="shared" ref="AB218" si="151">M218*R218</f>
        <v>607062.86730000004</v>
      </c>
      <c r="AC218" s="360"/>
      <c r="AD218" s="357">
        <f t="shared" ref="AD218" si="152">R218*X218/1000</f>
        <v>10547.9602</v>
      </c>
      <c r="AE218" s="348"/>
    </row>
    <row r="219" spans="1:31" s="36" customFormat="1" ht="15.75" customHeight="1">
      <c r="A219" s="6" t="s">
        <v>18</v>
      </c>
      <c r="B219" s="10" t="str">
        <f>VLOOKUP(A219,[1]Sheet1!$A:$B,2,0)</f>
        <v>RCS POD</v>
      </c>
      <c r="C219" s="6" t="s">
        <v>100</v>
      </c>
      <c r="D219" s="31">
        <v>130040670029868</v>
      </c>
      <c r="E219" s="6" t="s">
        <v>74</v>
      </c>
      <c r="F219" s="10" t="s">
        <v>75</v>
      </c>
      <c r="G219" s="39" t="s">
        <v>76</v>
      </c>
      <c r="H219" s="40">
        <v>2024</v>
      </c>
      <c r="I219" s="334">
        <v>5</v>
      </c>
      <c r="J219" s="338">
        <v>45608</v>
      </c>
      <c r="K219" s="240"/>
      <c r="L219" s="400">
        <v>0.18390000000000001</v>
      </c>
      <c r="M219" s="400">
        <v>0.21870000000000001</v>
      </c>
      <c r="N219" s="405">
        <f>0.0213+0.0118</f>
        <v>3.3099999999999997E-2</v>
      </c>
      <c r="O219" s="371">
        <f t="shared" si="146"/>
        <v>0</v>
      </c>
      <c r="P219" s="370">
        <v>1</v>
      </c>
      <c r="Q219" s="370">
        <f t="shared" si="144"/>
        <v>0.18390000000000001</v>
      </c>
      <c r="R219" s="356">
        <v>11672000</v>
      </c>
      <c r="S219" s="15">
        <f>R219+S218</f>
        <v>14447779</v>
      </c>
      <c r="T219" s="382">
        <v>8913207</v>
      </c>
      <c r="U219" s="382">
        <f>T219-N219*S219</f>
        <v>8434985.5151000004</v>
      </c>
      <c r="V219" s="6" t="s">
        <v>101</v>
      </c>
      <c r="W219" s="22" t="s">
        <v>78</v>
      </c>
      <c r="X219" s="27">
        <v>3.8</v>
      </c>
      <c r="Y219" s="6" t="s">
        <v>103</v>
      </c>
      <c r="Z219" s="6"/>
      <c r="AA219" s="16"/>
      <c r="AB219" s="393">
        <f t="shared" si="143"/>
        <v>2552666.4</v>
      </c>
      <c r="AC219" s="17"/>
      <c r="AD219" s="15">
        <f t="shared" si="142"/>
        <v>44353.599999999999</v>
      </c>
      <c r="AE219" s="10"/>
    </row>
    <row r="220" spans="1:31" s="36" customFormat="1" ht="15.75" customHeight="1">
      <c r="A220" s="6" t="s">
        <v>18</v>
      </c>
      <c r="B220" s="10" t="str">
        <f>VLOOKUP(A220,[1]Sheet1!$A:$B,2,0)</f>
        <v>RCS POD</v>
      </c>
      <c r="C220" s="6" t="s">
        <v>100</v>
      </c>
      <c r="D220" s="31">
        <v>130040670029868</v>
      </c>
      <c r="E220" s="6" t="s">
        <v>74</v>
      </c>
      <c r="F220" s="10" t="s">
        <v>75</v>
      </c>
      <c r="G220" s="39" t="s">
        <v>76</v>
      </c>
      <c r="H220" s="40">
        <v>2024</v>
      </c>
      <c r="I220" s="334">
        <v>6</v>
      </c>
      <c r="J220" s="338">
        <v>45608</v>
      </c>
      <c r="K220" s="240"/>
      <c r="L220" s="400">
        <v>0.18390000000000001</v>
      </c>
      <c r="M220" s="400">
        <v>0.21870000000000001</v>
      </c>
      <c r="N220" s="405">
        <f>0.0213+0.0118</f>
        <v>3.3099999999999997E-2</v>
      </c>
      <c r="O220" s="371">
        <f t="shared" si="146"/>
        <v>0</v>
      </c>
      <c r="P220" s="370">
        <v>1</v>
      </c>
      <c r="Q220" s="370">
        <f t="shared" si="144"/>
        <v>0.18390000000000001</v>
      </c>
      <c r="R220" s="356">
        <v>14988220</v>
      </c>
      <c r="S220" s="15">
        <f>R220+S219</f>
        <v>29435999</v>
      </c>
      <c r="T220" s="382">
        <v>8913207</v>
      </c>
      <c r="U220" s="382">
        <f t="shared" ref="U220:U225" si="153">T220-N220*S220</f>
        <v>7938875.4331</v>
      </c>
      <c r="V220" s="6" t="s">
        <v>101</v>
      </c>
      <c r="W220" s="22" t="s">
        <v>78</v>
      </c>
      <c r="X220" s="27">
        <v>3.8</v>
      </c>
      <c r="Y220" s="6" t="s">
        <v>103</v>
      </c>
      <c r="Z220" s="6"/>
      <c r="AA220" s="16"/>
      <c r="AB220" s="393">
        <f t="shared" si="143"/>
        <v>3277923.7140000002</v>
      </c>
      <c r="AC220" s="17"/>
      <c r="AD220" s="15">
        <f t="shared" si="142"/>
        <v>56955.235999999997</v>
      </c>
      <c r="AE220" s="10"/>
    </row>
    <row r="221" spans="1:31" s="36" customFormat="1" ht="15.75" customHeight="1">
      <c r="A221" s="6" t="s">
        <v>18</v>
      </c>
      <c r="B221" s="10" t="str">
        <f>VLOOKUP(A221,[1]Sheet1!$A:$B,2,0)</f>
        <v>RCS POD</v>
      </c>
      <c r="C221" s="6" t="s">
        <v>100</v>
      </c>
      <c r="D221" s="31">
        <v>130040670029868</v>
      </c>
      <c r="E221" s="6" t="s">
        <v>74</v>
      </c>
      <c r="F221" s="10" t="s">
        <v>75</v>
      </c>
      <c r="G221" s="39" t="s">
        <v>76</v>
      </c>
      <c r="H221" s="40">
        <v>2024</v>
      </c>
      <c r="I221" s="334">
        <v>7</v>
      </c>
      <c r="J221" s="338">
        <v>45608</v>
      </c>
      <c r="K221" s="240"/>
      <c r="L221" s="400">
        <v>0.18390000000000001</v>
      </c>
      <c r="M221" s="400">
        <v>0.21870000000000001</v>
      </c>
      <c r="N221" s="405">
        <f>0.0213+0.0118</f>
        <v>3.3099999999999997E-2</v>
      </c>
      <c r="O221" s="371">
        <f t="shared" si="146"/>
        <v>0</v>
      </c>
      <c r="P221" s="370">
        <v>1</v>
      </c>
      <c r="Q221" s="370">
        <f t="shared" si="144"/>
        <v>0.18390000000000001</v>
      </c>
      <c r="R221" s="356">
        <v>8056800</v>
      </c>
      <c r="S221" s="15">
        <f>R221+S220</f>
        <v>37492799</v>
      </c>
      <c r="T221" s="382">
        <v>8913207</v>
      </c>
      <c r="U221" s="382">
        <f t="shared" si="153"/>
        <v>7672195.3530999999</v>
      </c>
      <c r="V221" s="6" t="s">
        <v>101</v>
      </c>
      <c r="W221" s="22" t="s">
        <v>78</v>
      </c>
      <c r="X221" s="27">
        <v>3.8</v>
      </c>
      <c r="Y221" s="6" t="s">
        <v>103</v>
      </c>
      <c r="Z221" s="6"/>
      <c r="AA221" s="16"/>
      <c r="AB221" s="393">
        <f t="shared" si="143"/>
        <v>1762022.1600000001</v>
      </c>
      <c r="AC221" s="17"/>
      <c r="AD221" s="15">
        <f t="shared" si="142"/>
        <v>30615.84</v>
      </c>
      <c r="AE221" s="10"/>
    </row>
    <row r="222" spans="1:31" s="36" customFormat="1" ht="15.75" customHeight="1">
      <c r="A222" s="6" t="s">
        <v>18</v>
      </c>
      <c r="B222" s="10" t="str">
        <f>VLOOKUP(A222,[1]Sheet1!$A:$B,2,0)</f>
        <v>RCS POD</v>
      </c>
      <c r="C222" s="6" t="s">
        <v>100</v>
      </c>
      <c r="D222" s="31">
        <v>130040670029868</v>
      </c>
      <c r="E222" s="6" t="s">
        <v>74</v>
      </c>
      <c r="F222" s="10" t="s">
        <v>75</v>
      </c>
      <c r="G222" s="39" t="s">
        <v>76</v>
      </c>
      <c r="H222" s="40">
        <v>2024</v>
      </c>
      <c r="I222" s="334">
        <v>8</v>
      </c>
      <c r="J222" s="338">
        <v>45608</v>
      </c>
      <c r="K222" s="240"/>
      <c r="L222" s="400">
        <v>0.18390000000000001</v>
      </c>
      <c r="M222" s="400">
        <v>0.21870000000000001</v>
      </c>
      <c r="N222" s="405">
        <f>0.0213+0.0118</f>
        <v>3.3099999999999997E-2</v>
      </c>
      <c r="O222" s="371">
        <f t="shared" si="146"/>
        <v>0</v>
      </c>
      <c r="P222" s="370">
        <v>1</v>
      </c>
      <c r="Q222" s="370">
        <f t="shared" si="144"/>
        <v>0.18390000000000001</v>
      </c>
      <c r="R222" s="23">
        <v>12026880</v>
      </c>
      <c r="S222" s="15">
        <f>R222+S221</f>
        <v>49519679</v>
      </c>
      <c r="T222" s="382">
        <v>8913207</v>
      </c>
      <c r="U222" s="382">
        <f t="shared" si="153"/>
        <v>7274105.6250999998</v>
      </c>
      <c r="V222" s="6" t="s">
        <v>101</v>
      </c>
      <c r="W222" s="22" t="s">
        <v>78</v>
      </c>
      <c r="X222" s="27">
        <v>3.8</v>
      </c>
      <c r="Y222" s="6" t="s">
        <v>103</v>
      </c>
      <c r="Z222" s="6"/>
      <c r="AA222" s="16"/>
      <c r="AB222" s="393">
        <f t="shared" si="143"/>
        <v>2630278.656</v>
      </c>
      <c r="AC222" s="17"/>
      <c r="AD222" s="15">
        <f t="shared" si="142"/>
        <v>45702.144</v>
      </c>
      <c r="AE222" s="10"/>
    </row>
    <row r="223" spans="1:31" s="361" customFormat="1" ht="15.75" customHeight="1">
      <c r="A223" s="347" t="s">
        <v>18</v>
      </c>
      <c r="B223" s="348" t="str">
        <f>VLOOKUP(A223,[1]Sheet1!$A:$B,2,0)</f>
        <v>RCS POD</v>
      </c>
      <c r="C223" s="362" t="s">
        <v>104</v>
      </c>
      <c r="D223" s="350">
        <v>130040670020899</v>
      </c>
      <c r="E223" s="347" t="s">
        <v>74</v>
      </c>
      <c r="F223" s="348" t="s">
        <v>75</v>
      </c>
      <c r="G223" s="351" t="s">
        <v>76</v>
      </c>
      <c r="H223" s="352">
        <v>2024</v>
      </c>
      <c r="I223" s="353">
        <v>4</v>
      </c>
      <c r="J223" s="354">
        <v>45660</v>
      </c>
      <c r="K223" s="355"/>
      <c r="L223" s="401">
        <v>6.2700000000000006E-2</v>
      </c>
      <c r="M223" s="401">
        <v>8.7300000000000003E-2</v>
      </c>
      <c r="N223" s="406">
        <v>2.46E-2</v>
      </c>
      <c r="O223" s="372">
        <f t="shared" ref="O223" si="154">K223*N223</f>
        <v>0</v>
      </c>
      <c r="P223" s="373">
        <v>1</v>
      </c>
      <c r="Q223" s="373">
        <f t="shared" ref="Q223" si="155">P223*L223</f>
        <v>6.2700000000000006E-2</v>
      </c>
      <c r="R223" s="356">
        <v>6253200</v>
      </c>
      <c r="S223" s="357">
        <f>R223</f>
        <v>6253200</v>
      </c>
      <c r="T223" s="383">
        <v>5893484</v>
      </c>
      <c r="U223" s="383">
        <f t="shared" ref="U223" si="156">T223-N223*S223</f>
        <v>5739655.2800000003</v>
      </c>
      <c r="V223" s="347" t="s">
        <v>88</v>
      </c>
      <c r="W223" s="22" t="s">
        <v>78</v>
      </c>
      <c r="X223" s="358">
        <v>0.53</v>
      </c>
      <c r="Y223" s="358" t="s">
        <v>79</v>
      </c>
      <c r="Z223" s="358"/>
      <c r="AA223" s="359"/>
      <c r="AB223" s="394">
        <f t="shared" ref="AB223" si="157">M223*R223</f>
        <v>545904.36</v>
      </c>
      <c r="AC223" s="360"/>
      <c r="AD223" s="357">
        <f t="shared" ref="AD223" si="158">R223*X223/1000</f>
        <v>3314.1959999999999</v>
      </c>
      <c r="AE223" s="348"/>
    </row>
    <row r="224" spans="1:31" s="36" customFormat="1" ht="15.75" customHeight="1">
      <c r="A224" s="6" t="s">
        <v>18</v>
      </c>
      <c r="B224" s="10" t="str">
        <f>VLOOKUP(A224,[1]Sheet1!$A:$B,2,0)</f>
        <v>RCS POD</v>
      </c>
      <c r="C224" s="37" t="s">
        <v>104</v>
      </c>
      <c r="D224" s="31">
        <v>130040670020899</v>
      </c>
      <c r="E224" s="6" t="s">
        <v>74</v>
      </c>
      <c r="F224" s="10" t="s">
        <v>75</v>
      </c>
      <c r="G224" s="39" t="s">
        <v>76</v>
      </c>
      <c r="H224" s="40">
        <v>2024</v>
      </c>
      <c r="I224" s="334">
        <v>5</v>
      </c>
      <c r="J224" s="338">
        <v>45608</v>
      </c>
      <c r="K224" s="240"/>
      <c r="L224" s="400">
        <v>6.2700000000000006E-2</v>
      </c>
      <c r="M224" s="400">
        <v>8.7300000000000003E-2</v>
      </c>
      <c r="N224" s="405">
        <v>2.46E-2</v>
      </c>
      <c r="O224" s="371">
        <f t="shared" si="146"/>
        <v>0</v>
      </c>
      <c r="P224" s="370">
        <v>1</v>
      </c>
      <c r="Q224" s="370">
        <f t="shared" si="144"/>
        <v>6.2700000000000006E-2</v>
      </c>
      <c r="R224" s="356">
        <v>13753447</v>
      </c>
      <c r="S224" s="15">
        <f>R224+S223</f>
        <v>20006647</v>
      </c>
      <c r="T224" s="382">
        <v>5893484</v>
      </c>
      <c r="U224" s="382">
        <f t="shared" si="153"/>
        <v>5401320.4837999996</v>
      </c>
      <c r="V224" s="6" t="s">
        <v>88</v>
      </c>
      <c r="W224" s="22" t="s">
        <v>78</v>
      </c>
      <c r="X224" s="27">
        <v>0.53</v>
      </c>
      <c r="Y224" s="27" t="s">
        <v>79</v>
      </c>
      <c r="Z224" s="27"/>
      <c r="AA224" s="16"/>
      <c r="AB224" s="393">
        <f t="shared" si="143"/>
        <v>1200675.9231</v>
      </c>
      <c r="AC224" s="17"/>
      <c r="AD224" s="15">
        <f t="shared" si="142"/>
        <v>7289.3269099999998</v>
      </c>
      <c r="AE224" s="10"/>
    </row>
    <row r="225" spans="1:31" s="36" customFormat="1" ht="15.75" customHeight="1">
      <c r="A225" s="6" t="s">
        <v>18</v>
      </c>
      <c r="B225" s="10" t="str">
        <f>VLOOKUP(A225,[1]Sheet1!$A:$B,2,0)</f>
        <v>RCS POD</v>
      </c>
      <c r="C225" s="37" t="s">
        <v>104</v>
      </c>
      <c r="D225" s="31">
        <v>130040670020899</v>
      </c>
      <c r="E225" s="6" t="s">
        <v>74</v>
      </c>
      <c r="F225" s="10" t="s">
        <v>75</v>
      </c>
      <c r="G225" s="39" t="s">
        <v>76</v>
      </c>
      <c r="H225" s="40">
        <v>2024</v>
      </c>
      <c r="I225" s="334">
        <v>6</v>
      </c>
      <c r="J225" s="338">
        <v>45608</v>
      </c>
      <c r="K225" s="240"/>
      <c r="L225" s="400">
        <v>6.2700000000000006E-2</v>
      </c>
      <c r="M225" s="400">
        <v>8.7300000000000003E-2</v>
      </c>
      <c r="N225" s="405">
        <v>2.46E-2</v>
      </c>
      <c r="O225" s="371">
        <f t="shared" si="146"/>
        <v>0</v>
      </c>
      <c r="P225" s="370">
        <v>1</v>
      </c>
      <c r="Q225" s="370">
        <f t="shared" si="144"/>
        <v>6.2700000000000006E-2</v>
      </c>
      <c r="R225" s="356">
        <v>15264000</v>
      </c>
      <c r="S225" s="15">
        <f>R225+S224</f>
        <v>35270647</v>
      </c>
      <c r="T225" s="382">
        <v>5893484</v>
      </c>
      <c r="U225" s="382">
        <f t="shared" si="153"/>
        <v>5025826.0838000001</v>
      </c>
      <c r="V225" s="6" t="s">
        <v>88</v>
      </c>
      <c r="W225" s="22" t="s">
        <v>78</v>
      </c>
      <c r="X225" s="27">
        <v>0.53</v>
      </c>
      <c r="Y225" s="27" t="s">
        <v>79</v>
      </c>
      <c r="Z225" s="27"/>
      <c r="AA225" s="16"/>
      <c r="AB225" s="393">
        <f t="shared" si="143"/>
        <v>1332547.2</v>
      </c>
      <c r="AC225" s="17"/>
      <c r="AD225" s="15">
        <f t="shared" si="142"/>
        <v>8089.92</v>
      </c>
      <c r="AE225" s="10"/>
    </row>
    <row r="226" spans="1:31" s="36" customFormat="1" ht="15.75" customHeight="1">
      <c r="A226" s="6" t="s">
        <v>18</v>
      </c>
      <c r="B226" s="10" t="str">
        <f>VLOOKUP(A226,[1]Sheet1!$A:$B,2,0)</f>
        <v>RCS POD</v>
      </c>
      <c r="C226" s="37" t="s">
        <v>104</v>
      </c>
      <c r="D226" s="31">
        <v>130040670020899</v>
      </c>
      <c r="E226" s="6" t="s">
        <v>74</v>
      </c>
      <c r="F226" s="10" t="s">
        <v>75</v>
      </c>
      <c r="G226" s="39" t="s">
        <v>76</v>
      </c>
      <c r="H226" s="40">
        <v>2024</v>
      </c>
      <c r="I226" s="334">
        <v>7</v>
      </c>
      <c r="J226" s="338">
        <v>45608</v>
      </c>
      <c r="K226" s="240"/>
      <c r="L226" s="400">
        <v>6.2700000000000006E-2</v>
      </c>
      <c r="M226" s="400">
        <v>8.7300000000000003E-2</v>
      </c>
      <c r="N226" s="405">
        <v>2.46E-2</v>
      </c>
      <c r="O226" s="371">
        <f t="shared" si="146"/>
        <v>0</v>
      </c>
      <c r="P226" s="370">
        <v>1</v>
      </c>
      <c r="Q226" s="370">
        <f t="shared" si="144"/>
        <v>6.2700000000000006E-2</v>
      </c>
      <c r="R226" s="356">
        <v>6980000</v>
      </c>
      <c r="S226" s="15">
        <f>R226+S225</f>
        <v>42250647</v>
      </c>
      <c r="T226" s="382">
        <v>5893484</v>
      </c>
      <c r="U226" s="382">
        <f t="shared" ref="U226" si="159">T226-N226*S226</f>
        <v>4854118.0838000001</v>
      </c>
      <c r="V226" s="6" t="s">
        <v>88</v>
      </c>
      <c r="W226" s="22" t="s">
        <v>78</v>
      </c>
      <c r="X226" s="27">
        <v>0.53</v>
      </c>
      <c r="Y226" s="27" t="s">
        <v>79</v>
      </c>
      <c r="Z226" s="27"/>
      <c r="AA226" s="16"/>
      <c r="AB226" s="393">
        <f t="shared" si="143"/>
        <v>609354</v>
      </c>
      <c r="AC226" s="17"/>
      <c r="AD226" s="15">
        <f t="shared" si="142"/>
        <v>3699.4</v>
      </c>
      <c r="AE226" s="10"/>
    </row>
    <row r="227" spans="1:31" s="38" customFormat="1" ht="15.75" customHeight="1">
      <c r="A227" s="6" t="s">
        <v>18</v>
      </c>
      <c r="B227" s="10" t="str">
        <f>VLOOKUP(A227,[1]Sheet1!$A:$B,2,0)</f>
        <v>RCS POD</v>
      </c>
      <c r="C227" s="37" t="s">
        <v>104</v>
      </c>
      <c r="D227" s="31">
        <v>130040670020899</v>
      </c>
      <c r="E227" s="6" t="s">
        <v>74</v>
      </c>
      <c r="F227" s="10" t="s">
        <v>75</v>
      </c>
      <c r="G227" s="39" t="s">
        <v>76</v>
      </c>
      <c r="H227" s="40">
        <v>2024</v>
      </c>
      <c r="I227" s="334">
        <v>8</v>
      </c>
      <c r="J227" s="338">
        <v>45608</v>
      </c>
      <c r="K227" s="240"/>
      <c r="L227" s="400">
        <v>6.2700000000000006E-2</v>
      </c>
      <c r="M227" s="400">
        <v>8.7300000000000003E-2</v>
      </c>
      <c r="N227" s="405">
        <v>2.46E-2</v>
      </c>
      <c r="O227" s="371">
        <f t="shared" si="146"/>
        <v>0</v>
      </c>
      <c r="P227" s="370">
        <v>1</v>
      </c>
      <c r="Q227" s="370">
        <f t="shared" si="144"/>
        <v>6.2700000000000006E-2</v>
      </c>
      <c r="R227" s="23">
        <v>14172000</v>
      </c>
      <c r="S227" s="15">
        <f>R227+S226</f>
        <v>56422647</v>
      </c>
      <c r="T227" s="382">
        <v>5893484</v>
      </c>
      <c r="U227" s="382">
        <f t="shared" ref="U227:U293" si="160">T227-N227*S227</f>
        <v>4505486.8838</v>
      </c>
      <c r="V227" s="6" t="s">
        <v>88</v>
      </c>
      <c r="W227" s="22" t="s">
        <v>78</v>
      </c>
      <c r="X227" s="27">
        <v>0.53</v>
      </c>
      <c r="Y227" s="27" t="s">
        <v>79</v>
      </c>
      <c r="Z227" s="27"/>
      <c r="AA227" s="16"/>
      <c r="AB227" s="393">
        <f t="shared" ref="AB227:AB293" si="161">M227*R227</f>
        <v>1237215.6000000001</v>
      </c>
      <c r="AC227" s="17"/>
      <c r="AD227" s="15">
        <f t="shared" ref="AD227:AD293" si="162">R227*X227/1000</f>
        <v>7511.16</v>
      </c>
      <c r="AE227" s="10"/>
    </row>
    <row r="228" spans="1:31" s="346" customFormat="1" ht="15.75" customHeight="1">
      <c r="A228" s="347" t="s">
        <v>18</v>
      </c>
      <c r="B228" s="348" t="str">
        <f>VLOOKUP(A228,[1]Sheet1!$A:$B,2,0)</f>
        <v>RCS POD</v>
      </c>
      <c r="C228" s="362" t="s">
        <v>105</v>
      </c>
      <c r="D228" s="350">
        <v>130040670020898</v>
      </c>
      <c r="E228" s="347" t="s">
        <v>74</v>
      </c>
      <c r="F228" s="348" t="s">
        <v>75</v>
      </c>
      <c r="G228" s="351" t="s">
        <v>76</v>
      </c>
      <c r="H228" s="352">
        <v>2024</v>
      </c>
      <c r="I228" s="353">
        <v>4</v>
      </c>
      <c r="J228" s="354">
        <v>45660</v>
      </c>
      <c r="K228" s="355"/>
      <c r="L228" s="401">
        <v>5.0299999999999997E-2</v>
      </c>
      <c r="M228" s="401">
        <v>7.4499999999999997E-2</v>
      </c>
      <c r="N228" s="406">
        <v>2.4199999999999999E-2</v>
      </c>
      <c r="O228" s="372">
        <f t="shared" ref="O228" si="163">K228*N228</f>
        <v>0</v>
      </c>
      <c r="P228" s="373">
        <v>1</v>
      </c>
      <c r="Q228" s="373">
        <f t="shared" ref="Q228" si="164">P228*L228</f>
        <v>5.0299999999999997E-2</v>
      </c>
      <c r="R228" s="356">
        <v>6008034</v>
      </c>
      <c r="S228" s="357">
        <f>R228</f>
        <v>6008034</v>
      </c>
      <c r="T228" s="383">
        <v>5799197</v>
      </c>
      <c r="U228" s="383">
        <f t="shared" ref="U228" si="165">T228-N228*S228</f>
        <v>5653802.5772000002</v>
      </c>
      <c r="V228" s="347" t="s">
        <v>88</v>
      </c>
      <c r="W228" s="22" t="s">
        <v>78</v>
      </c>
      <c r="X228" s="358">
        <v>0.24</v>
      </c>
      <c r="Y228" s="358" t="s">
        <v>79</v>
      </c>
      <c r="Z228" s="358"/>
      <c r="AA228" s="359"/>
      <c r="AB228" s="394">
        <f t="shared" ref="AB228" si="166">M228*R228</f>
        <v>447598.533</v>
      </c>
      <c r="AC228" s="360"/>
      <c r="AD228" s="357">
        <f t="shared" ref="AD228" si="167">R228*X228/1000</f>
        <v>1441.9281599999999</v>
      </c>
      <c r="AE228" s="348"/>
    </row>
    <row r="229" spans="1:31" s="38" customFormat="1" ht="15.75" customHeight="1">
      <c r="A229" s="6" t="s">
        <v>18</v>
      </c>
      <c r="B229" s="10" t="str">
        <f>VLOOKUP(A229,[1]Sheet1!$A:$B,2,0)</f>
        <v>RCS POD</v>
      </c>
      <c r="C229" s="37" t="s">
        <v>105</v>
      </c>
      <c r="D229" s="31">
        <v>130040670020898</v>
      </c>
      <c r="E229" s="6" t="s">
        <v>74</v>
      </c>
      <c r="F229" s="10" t="s">
        <v>75</v>
      </c>
      <c r="G229" s="39" t="s">
        <v>76</v>
      </c>
      <c r="H229" s="40">
        <v>2024</v>
      </c>
      <c r="I229" s="334">
        <v>5</v>
      </c>
      <c r="J229" s="338">
        <v>45608</v>
      </c>
      <c r="K229" s="240"/>
      <c r="L229" s="400">
        <v>5.0299999999999997E-2</v>
      </c>
      <c r="M229" s="400">
        <v>7.4499999999999997E-2</v>
      </c>
      <c r="N229" s="405">
        <v>2.4199999999999999E-2</v>
      </c>
      <c r="O229" s="371">
        <f t="shared" si="146"/>
        <v>0</v>
      </c>
      <c r="P229" s="370">
        <v>1</v>
      </c>
      <c r="Q229" s="370">
        <f t="shared" si="144"/>
        <v>5.0299999999999997E-2</v>
      </c>
      <c r="R229" s="356">
        <v>16107201</v>
      </c>
      <c r="S229" s="15">
        <f>R229+S228</f>
        <v>22115235</v>
      </c>
      <c r="T229" s="382">
        <v>5799197</v>
      </c>
      <c r="U229" s="382">
        <f t="shared" si="160"/>
        <v>5264008.3130000001</v>
      </c>
      <c r="V229" s="6" t="s">
        <v>88</v>
      </c>
      <c r="W229" s="22" t="s">
        <v>78</v>
      </c>
      <c r="X229" s="27">
        <v>0.24</v>
      </c>
      <c r="Y229" s="27" t="s">
        <v>79</v>
      </c>
      <c r="Z229" s="27"/>
      <c r="AA229" s="16"/>
      <c r="AB229" s="393">
        <f t="shared" si="161"/>
        <v>1199986.4745</v>
      </c>
      <c r="AC229" s="17"/>
      <c r="AD229" s="15">
        <f t="shared" si="162"/>
        <v>3865.7282399999999</v>
      </c>
      <c r="AE229" s="10"/>
    </row>
    <row r="230" spans="1:31" s="38" customFormat="1" ht="15.75" customHeight="1">
      <c r="A230" s="6" t="s">
        <v>18</v>
      </c>
      <c r="B230" s="10" t="str">
        <f>VLOOKUP(A230,[1]Sheet1!$A:$B,2,0)</f>
        <v>RCS POD</v>
      </c>
      <c r="C230" s="37" t="s">
        <v>105</v>
      </c>
      <c r="D230" s="31">
        <v>130040670020898</v>
      </c>
      <c r="E230" s="6" t="s">
        <v>74</v>
      </c>
      <c r="F230" s="10" t="s">
        <v>75</v>
      </c>
      <c r="G230" s="39" t="s">
        <v>76</v>
      </c>
      <c r="H230" s="40">
        <v>2024</v>
      </c>
      <c r="I230" s="334">
        <v>6</v>
      </c>
      <c r="J230" s="338">
        <v>45608</v>
      </c>
      <c r="K230" s="240"/>
      <c r="L230" s="400">
        <v>5.0299999999999997E-2</v>
      </c>
      <c r="M230" s="400">
        <v>7.4499999999999997E-2</v>
      </c>
      <c r="N230" s="405">
        <v>2.4199999999999999E-2</v>
      </c>
      <c r="O230" s="371">
        <f t="shared" si="146"/>
        <v>0</v>
      </c>
      <c r="P230" s="370">
        <v>1</v>
      </c>
      <c r="Q230" s="370">
        <f t="shared" si="144"/>
        <v>5.0299999999999997E-2</v>
      </c>
      <c r="R230" s="23">
        <v>14463856</v>
      </c>
      <c r="S230" s="15">
        <f>R230+S229</f>
        <v>36579091</v>
      </c>
      <c r="T230" s="382">
        <v>5799197</v>
      </c>
      <c r="U230" s="382">
        <f t="shared" si="160"/>
        <v>4913982.9978</v>
      </c>
      <c r="V230" s="6" t="s">
        <v>88</v>
      </c>
      <c r="W230" s="22" t="s">
        <v>78</v>
      </c>
      <c r="X230" s="27">
        <v>0.24</v>
      </c>
      <c r="Y230" s="27" t="s">
        <v>79</v>
      </c>
      <c r="Z230" s="27"/>
      <c r="AA230" s="16"/>
      <c r="AB230" s="393">
        <f t="shared" si="161"/>
        <v>1077557.2719999999</v>
      </c>
      <c r="AC230" s="17"/>
      <c r="AD230" s="15">
        <f t="shared" si="162"/>
        <v>3471.3254400000001</v>
      </c>
      <c r="AE230" s="10"/>
    </row>
    <row r="231" spans="1:31" s="38" customFormat="1" ht="15.75" customHeight="1">
      <c r="A231" s="6" t="s">
        <v>18</v>
      </c>
      <c r="B231" s="10" t="str">
        <f>VLOOKUP(A231,[1]Sheet1!$A:$B,2,0)</f>
        <v>RCS POD</v>
      </c>
      <c r="C231" s="37" t="s">
        <v>105</v>
      </c>
      <c r="D231" s="31">
        <v>130040670020898</v>
      </c>
      <c r="E231" s="6" t="s">
        <v>74</v>
      </c>
      <c r="F231" s="10" t="s">
        <v>75</v>
      </c>
      <c r="G231" s="39" t="s">
        <v>76</v>
      </c>
      <c r="H231" s="40">
        <v>2024</v>
      </c>
      <c r="I231" s="334">
        <v>7</v>
      </c>
      <c r="J231" s="338">
        <v>45608</v>
      </c>
      <c r="K231" s="240"/>
      <c r="L231" s="400">
        <v>5.0299999999999997E-2</v>
      </c>
      <c r="M231" s="400">
        <v>7.4499999999999997E-2</v>
      </c>
      <c r="N231" s="405">
        <v>2.4199999999999999E-2</v>
      </c>
      <c r="O231" s="371">
        <f t="shared" si="146"/>
        <v>0</v>
      </c>
      <c r="P231" s="370">
        <v>1</v>
      </c>
      <c r="Q231" s="370">
        <f t="shared" si="144"/>
        <v>5.0299999999999997E-2</v>
      </c>
      <c r="R231" s="356">
        <v>8143400</v>
      </c>
      <c r="S231" s="15">
        <f>R231+S230</f>
        <v>44722491</v>
      </c>
      <c r="T231" s="382">
        <v>5799197</v>
      </c>
      <c r="U231" s="382">
        <f t="shared" si="160"/>
        <v>4716912.7177999998</v>
      </c>
      <c r="V231" s="6" t="s">
        <v>88</v>
      </c>
      <c r="W231" s="22" t="s">
        <v>78</v>
      </c>
      <c r="X231" s="27">
        <v>0.24</v>
      </c>
      <c r="Y231" s="27" t="s">
        <v>79</v>
      </c>
      <c r="Z231" s="27"/>
      <c r="AA231" s="16"/>
      <c r="AB231" s="393">
        <f t="shared" si="161"/>
        <v>606683.29999999993</v>
      </c>
      <c r="AC231" s="17"/>
      <c r="AD231" s="15">
        <f t="shared" si="162"/>
        <v>1954.4159999999999</v>
      </c>
      <c r="AE231" s="10"/>
    </row>
    <row r="232" spans="1:31" s="38" customFormat="1" ht="15.75" customHeight="1">
      <c r="A232" s="6" t="s">
        <v>18</v>
      </c>
      <c r="B232" s="10" t="str">
        <f>VLOOKUP(A232,[1]Sheet1!$A:$B,2,0)</f>
        <v>RCS POD</v>
      </c>
      <c r="C232" s="37" t="s">
        <v>105</v>
      </c>
      <c r="D232" s="31">
        <v>130040670020898</v>
      </c>
      <c r="E232" s="6" t="s">
        <v>74</v>
      </c>
      <c r="F232" s="10" t="s">
        <v>75</v>
      </c>
      <c r="G232" s="39" t="s">
        <v>76</v>
      </c>
      <c r="H232" s="40">
        <v>2024</v>
      </c>
      <c r="I232" s="334">
        <v>8</v>
      </c>
      <c r="J232" s="338">
        <v>45608</v>
      </c>
      <c r="K232" s="240"/>
      <c r="L232" s="400">
        <v>5.0299999999999997E-2</v>
      </c>
      <c r="M232" s="400">
        <v>7.4499999999999997E-2</v>
      </c>
      <c r="N232" s="405">
        <v>2.4199999999999999E-2</v>
      </c>
      <c r="O232" s="371">
        <f t="shared" si="146"/>
        <v>0</v>
      </c>
      <c r="P232" s="370">
        <v>1</v>
      </c>
      <c r="Q232" s="370">
        <f t="shared" si="144"/>
        <v>5.0299999999999997E-2</v>
      </c>
      <c r="R232" s="23">
        <v>12726730</v>
      </c>
      <c r="S232" s="15">
        <f>R232+S231</f>
        <v>57449221</v>
      </c>
      <c r="T232" s="382">
        <v>5799197</v>
      </c>
      <c r="U232" s="382">
        <f t="shared" si="160"/>
        <v>4408925.8518000003</v>
      </c>
      <c r="V232" s="6" t="s">
        <v>88</v>
      </c>
      <c r="W232" s="22" t="s">
        <v>78</v>
      </c>
      <c r="X232" s="27">
        <v>0.24</v>
      </c>
      <c r="Y232" s="27" t="s">
        <v>79</v>
      </c>
      <c r="Z232" s="27"/>
      <c r="AA232" s="16"/>
      <c r="AB232" s="393">
        <f t="shared" si="161"/>
        <v>948141.38500000001</v>
      </c>
      <c r="AC232" s="17"/>
      <c r="AD232" s="15">
        <f t="shared" si="162"/>
        <v>3054.4151999999999</v>
      </c>
      <c r="AE232" s="10"/>
    </row>
    <row r="233" spans="1:31" s="38" customFormat="1" ht="15.75" customHeight="1">
      <c r="A233" s="6" t="s">
        <v>106</v>
      </c>
      <c r="B233" s="10" t="str">
        <f>VLOOKUP(A233,[1]Sheet1!$A:$B,2,0)</f>
        <v>MODI</v>
      </c>
      <c r="C233" s="32" t="s">
        <v>100</v>
      </c>
      <c r="D233" s="31">
        <v>130040670018928</v>
      </c>
      <c r="E233" s="6" t="s">
        <v>74</v>
      </c>
      <c r="F233" s="10" t="s">
        <v>107</v>
      </c>
      <c r="G233" s="39" t="s">
        <v>76</v>
      </c>
      <c r="H233" s="40">
        <v>2024</v>
      </c>
      <c r="I233" s="334">
        <v>4</v>
      </c>
      <c r="J233" s="338">
        <v>45608</v>
      </c>
      <c r="K233" s="240"/>
      <c r="L233" s="400">
        <v>0.31</v>
      </c>
      <c r="M233" s="400">
        <v>0.34499999999999997</v>
      </c>
      <c r="N233" s="405">
        <v>3.5000000000000003E-2</v>
      </c>
      <c r="O233" s="371">
        <f t="shared" si="146"/>
        <v>0</v>
      </c>
      <c r="P233" s="370">
        <v>1</v>
      </c>
      <c r="Q233" s="370">
        <f t="shared" si="144"/>
        <v>0.31</v>
      </c>
      <c r="R233" s="23">
        <v>1136545</v>
      </c>
      <c r="S233" s="23">
        <v>1136545</v>
      </c>
      <c r="T233" s="382">
        <v>4200000</v>
      </c>
      <c r="U233" s="382">
        <f t="shared" si="160"/>
        <v>4160220.9249999998</v>
      </c>
      <c r="V233" s="6" t="s">
        <v>88</v>
      </c>
      <c r="W233" s="22" t="s">
        <v>78</v>
      </c>
      <c r="X233" s="27">
        <v>6.2</v>
      </c>
      <c r="Y233" s="27" t="s">
        <v>79</v>
      </c>
      <c r="Z233" s="27"/>
      <c r="AA233" s="16"/>
      <c r="AB233" s="393">
        <f t="shared" si="161"/>
        <v>392108.02499999997</v>
      </c>
      <c r="AC233" s="17"/>
      <c r="AD233" s="15">
        <f t="shared" si="162"/>
        <v>7046.5789999999997</v>
      </c>
      <c r="AE233" s="10"/>
    </row>
    <row r="234" spans="1:31" s="38" customFormat="1" ht="15.75" customHeight="1">
      <c r="A234" s="6" t="s">
        <v>106</v>
      </c>
      <c r="B234" s="10" t="str">
        <f>VLOOKUP(A234,[1]Sheet1!$A:$B,2,0)</f>
        <v>MODI</v>
      </c>
      <c r="C234" s="32" t="s">
        <v>100</v>
      </c>
      <c r="D234" s="31">
        <v>130040670018928</v>
      </c>
      <c r="E234" s="6" t="s">
        <v>74</v>
      </c>
      <c r="F234" s="10" t="s">
        <v>107</v>
      </c>
      <c r="G234" s="39" t="s">
        <v>76</v>
      </c>
      <c r="H234" s="40">
        <v>2024</v>
      </c>
      <c r="I234" s="334">
        <v>5</v>
      </c>
      <c r="J234" s="338">
        <v>45608</v>
      </c>
      <c r="K234" s="240"/>
      <c r="L234" s="400">
        <v>0.31</v>
      </c>
      <c r="M234" s="400">
        <v>0.34499999999999997</v>
      </c>
      <c r="N234" s="405">
        <v>3.5000000000000003E-2</v>
      </c>
      <c r="O234" s="371">
        <f t="shared" si="146"/>
        <v>0</v>
      </c>
      <c r="P234" s="370">
        <v>1</v>
      </c>
      <c r="Q234" s="370">
        <f t="shared" si="144"/>
        <v>0.31</v>
      </c>
      <c r="R234" s="23">
        <v>3135630</v>
      </c>
      <c r="S234" s="15">
        <v>4272175</v>
      </c>
      <c r="T234" s="382">
        <v>4200000</v>
      </c>
      <c r="U234" s="382">
        <f t="shared" si="160"/>
        <v>4050473.875</v>
      </c>
      <c r="V234" s="6" t="s">
        <v>88</v>
      </c>
      <c r="W234" s="22" t="s">
        <v>78</v>
      </c>
      <c r="X234" s="27">
        <v>6.2</v>
      </c>
      <c r="Y234" s="27" t="s">
        <v>79</v>
      </c>
      <c r="Z234" s="27"/>
      <c r="AA234" s="16"/>
      <c r="AB234" s="393">
        <f t="shared" si="161"/>
        <v>1081792.3499999999</v>
      </c>
      <c r="AC234" s="17"/>
      <c r="AD234" s="15">
        <f t="shared" si="162"/>
        <v>19440.905999999999</v>
      </c>
      <c r="AE234" s="10"/>
    </row>
    <row r="235" spans="1:31" s="38" customFormat="1" ht="15.75" customHeight="1">
      <c r="A235" s="6" t="s">
        <v>106</v>
      </c>
      <c r="B235" s="10" t="str">
        <f>VLOOKUP(A235,[1]Sheet1!$A:$B,2,0)</f>
        <v>MODI</v>
      </c>
      <c r="C235" s="32" t="s">
        <v>100</v>
      </c>
      <c r="D235" s="31">
        <v>130040670018928</v>
      </c>
      <c r="E235" s="6" t="s">
        <v>74</v>
      </c>
      <c r="F235" s="10" t="s">
        <v>107</v>
      </c>
      <c r="G235" s="39" t="s">
        <v>76</v>
      </c>
      <c r="H235" s="40">
        <v>2024</v>
      </c>
      <c r="I235" s="334">
        <v>6</v>
      </c>
      <c r="J235" s="338">
        <v>45608</v>
      </c>
      <c r="K235" s="240"/>
      <c r="L235" s="400">
        <v>0.31</v>
      </c>
      <c r="M235" s="400">
        <v>0.34499999999999997</v>
      </c>
      <c r="N235" s="405">
        <v>3.5000000000000003E-2</v>
      </c>
      <c r="O235" s="371">
        <f t="shared" si="146"/>
        <v>0</v>
      </c>
      <c r="P235" s="370">
        <v>1</v>
      </c>
      <c r="Q235" s="370">
        <f t="shared" si="144"/>
        <v>0.31</v>
      </c>
      <c r="R235" s="23">
        <v>1878191</v>
      </c>
      <c r="S235" s="15">
        <v>6150366</v>
      </c>
      <c r="T235" s="382">
        <v>4200000</v>
      </c>
      <c r="U235" s="382">
        <f t="shared" si="160"/>
        <v>3984737.19</v>
      </c>
      <c r="V235" s="6" t="s">
        <v>88</v>
      </c>
      <c r="W235" s="22" t="s">
        <v>78</v>
      </c>
      <c r="X235" s="27">
        <v>6.2</v>
      </c>
      <c r="Y235" s="27" t="s">
        <v>79</v>
      </c>
      <c r="Z235" s="27"/>
      <c r="AA235" s="16"/>
      <c r="AB235" s="393">
        <f t="shared" si="161"/>
        <v>647975.8949999999</v>
      </c>
      <c r="AC235" s="17"/>
      <c r="AD235" s="15">
        <f t="shared" si="162"/>
        <v>11644.784200000002</v>
      </c>
      <c r="AE235" s="10"/>
    </row>
    <row r="236" spans="1:31" s="38" customFormat="1" ht="15.75" customHeight="1">
      <c r="A236" s="6" t="s">
        <v>106</v>
      </c>
      <c r="B236" s="10" t="str">
        <f>VLOOKUP(A236,[1]Sheet1!$A:$B,2,0)</f>
        <v>MODI</v>
      </c>
      <c r="C236" s="32" t="s">
        <v>100</v>
      </c>
      <c r="D236" s="31">
        <v>130040670018928</v>
      </c>
      <c r="E236" s="6" t="s">
        <v>74</v>
      </c>
      <c r="F236" s="10" t="s">
        <v>107</v>
      </c>
      <c r="G236" s="39" t="s">
        <v>76</v>
      </c>
      <c r="H236" s="40">
        <v>2024</v>
      </c>
      <c r="I236" s="334">
        <v>7</v>
      </c>
      <c r="J236" s="338">
        <v>45608</v>
      </c>
      <c r="K236" s="240"/>
      <c r="L236" s="400">
        <v>0.31</v>
      </c>
      <c r="M236" s="400">
        <v>0.34499999999999997</v>
      </c>
      <c r="N236" s="405">
        <v>3.5000000000000003E-2</v>
      </c>
      <c r="O236" s="371">
        <f t="shared" si="146"/>
        <v>0</v>
      </c>
      <c r="P236" s="370">
        <v>1</v>
      </c>
      <c r="Q236" s="370">
        <f t="shared" si="144"/>
        <v>0.31</v>
      </c>
      <c r="R236" s="23">
        <v>2869163</v>
      </c>
      <c r="S236" s="15">
        <v>9019529</v>
      </c>
      <c r="T236" s="382">
        <v>4200000</v>
      </c>
      <c r="U236" s="382">
        <f t="shared" si="160"/>
        <v>3884316.4849999999</v>
      </c>
      <c r="V236" s="6" t="s">
        <v>88</v>
      </c>
      <c r="W236" s="22" t="s">
        <v>78</v>
      </c>
      <c r="X236" s="27">
        <v>6.2</v>
      </c>
      <c r="Y236" s="27" t="s">
        <v>79</v>
      </c>
      <c r="Z236" s="27"/>
      <c r="AA236" s="16"/>
      <c r="AB236" s="393">
        <f t="shared" si="161"/>
        <v>989861.23499999987</v>
      </c>
      <c r="AC236" s="17"/>
      <c r="AD236" s="15">
        <f t="shared" si="162"/>
        <v>17788.810600000001</v>
      </c>
      <c r="AE236" s="10"/>
    </row>
    <row r="237" spans="1:31" s="38" customFormat="1" ht="15.75" customHeight="1">
      <c r="A237" s="6" t="s">
        <v>106</v>
      </c>
      <c r="B237" s="10" t="str">
        <f>VLOOKUP(A237,[1]Sheet1!$A:$B,2,0)</f>
        <v>MODI</v>
      </c>
      <c r="C237" s="32" t="s">
        <v>100</v>
      </c>
      <c r="D237" s="31">
        <v>130040670018928</v>
      </c>
      <c r="E237" s="6" t="s">
        <v>74</v>
      </c>
      <c r="F237" s="10" t="s">
        <v>107</v>
      </c>
      <c r="G237" s="39" t="s">
        <v>76</v>
      </c>
      <c r="H237" s="40">
        <v>2024</v>
      </c>
      <c r="I237" s="334">
        <v>8</v>
      </c>
      <c r="J237" s="338">
        <v>45608</v>
      </c>
      <c r="K237" s="240"/>
      <c r="L237" s="400">
        <v>0.31</v>
      </c>
      <c r="M237" s="400">
        <v>0.34499999999999997</v>
      </c>
      <c r="N237" s="405">
        <v>3.5000000000000003E-2</v>
      </c>
      <c r="O237" s="371">
        <f t="shared" si="146"/>
        <v>0</v>
      </c>
      <c r="P237" s="370">
        <v>1</v>
      </c>
      <c r="Q237" s="370">
        <f t="shared" si="144"/>
        <v>0.31</v>
      </c>
      <c r="R237" s="23">
        <v>3350245</v>
      </c>
      <c r="S237" s="15">
        <v>12369774</v>
      </c>
      <c r="T237" s="382">
        <v>4200000</v>
      </c>
      <c r="U237" s="382">
        <f t="shared" si="160"/>
        <v>3767057.91</v>
      </c>
      <c r="V237" s="6" t="s">
        <v>88</v>
      </c>
      <c r="W237" s="22" t="s">
        <v>78</v>
      </c>
      <c r="X237" s="27">
        <v>6.2</v>
      </c>
      <c r="Y237" s="27" t="s">
        <v>79</v>
      </c>
      <c r="Z237" s="27"/>
      <c r="AA237" s="16"/>
      <c r="AB237" s="393">
        <f t="shared" si="161"/>
        <v>1155834.5249999999</v>
      </c>
      <c r="AC237" s="17"/>
      <c r="AD237" s="15">
        <f t="shared" si="162"/>
        <v>20771.519</v>
      </c>
      <c r="AE237" s="10"/>
    </row>
    <row r="238" spans="1:31" s="38" customFormat="1" ht="15.75" customHeight="1">
      <c r="A238" s="6" t="s">
        <v>106</v>
      </c>
      <c r="B238" s="10" t="str">
        <f>VLOOKUP(A238,[1]Sheet1!$A:$B,2,0)</f>
        <v>MODI</v>
      </c>
      <c r="C238" s="32" t="s">
        <v>104</v>
      </c>
      <c r="D238" s="31">
        <v>130040670018929</v>
      </c>
      <c r="E238" s="6" t="s">
        <v>74</v>
      </c>
      <c r="F238" s="10" t="s">
        <v>107</v>
      </c>
      <c r="G238" s="39" t="s">
        <v>76</v>
      </c>
      <c r="H238" s="40">
        <v>2024</v>
      </c>
      <c r="I238" s="334">
        <v>4</v>
      </c>
      <c r="J238" s="338">
        <v>45608</v>
      </c>
      <c r="K238" s="240"/>
      <c r="L238" s="400">
        <v>5.3999999999999999E-2</v>
      </c>
      <c r="M238" s="400">
        <v>6.3395833333333332E-2</v>
      </c>
      <c r="N238" s="405">
        <v>9.4000000000000004E-3</v>
      </c>
      <c r="O238" s="371">
        <f t="shared" si="146"/>
        <v>0</v>
      </c>
      <c r="P238" s="370">
        <v>1</v>
      </c>
      <c r="Q238" s="370">
        <f t="shared" si="144"/>
        <v>5.3999999999999999E-2</v>
      </c>
      <c r="R238" s="23">
        <v>1706400</v>
      </c>
      <c r="S238" s="23">
        <v>1706400</v>
      </c>
      <c r="T238" s="382">
        <v>902000</v>
      </c>
      <c r="U238" s="382">
        <f t="shared" si="160"/>
        <v>885959.84</v>
      </c>
      <c r="V238" s="6" t="s">
        <v>88</v>
      </c>
      <c r="W238" s="22" t="s">
        <v>78</v>
      </c>
      <c r="X238" s="27">
        <v>0.65</v>
      </c>
      <c r="Y238" s="27" t="s">
        <v>79</v>
      </c>
      <c r="Z238" s="27"/>
      <c r="AA238" s="16"/>
      <c r="AB238" s="393">
        <f t="shared" si="161"/>
        <v>108178.65</v>
      </c>
      <c r="AC238" s="17"/>
      <c r="AD238" s="15">
        <f t="shared" si="162"/>
        <v>1109.1600000000001</v>
      </c>
      <c r="AE238" s="10"/>
    </row>
    <row r="239" spans="1:31" s="38" customFormat="1" ht="15.75" customHeight="1">
      <c r="A239" s="6" t="s">
        <v>106</v>
      </c>
      <c r="B239" s="10" t="str">
        <f>VLOOKUP(A239,[1]Sheet1!$A:$B,2,0)</f>
        <v>MODI</v>
      </c>
      <c r="C239" s="32" t="s">
        <v>104</v>
      </c>
      <c r="D239" s="31">
        <v>130040670018929</v>
      </c>
      <c r="E239" s="6" t="s">
        <v>74</v>
      </c>
      <c r="F239" s="10" t="s">
        <v>107</v>
      </c>
      <c r="G239" s="39" t="s">
        <v>76</v>
      </c>
      <c r="H239" s="40">
        <v>2024</v>
      </c>
      <c r="I239" s="334">
        <v>5</v>
      </c>
      <c r="J239" s="338">
        <v>45608</v>
      </c>
      <c r="K239" s="240"/>
      <c r="L239" s="400">
        <v>5.3999999999999999E-2</v>
      </c>
      <c r="M239" s="400">
        <v>6.3395833333333332E-2</v>
      </c>
      <c r="N239" s="405">
        <v>9.4000000000000004E-3</v>
      </c>
      <c r="O239" s="371">
        <f t="shared" si="146"/>
        <v>0</v>
      </c>
      <c r="P239" s="370">
        <v>1</v>
      </c>
      <c r="Q239" s="370">
        <f t="shared" si="144"/>
        <v>5.3999999999999999E-2</v>
      </c>
      <c r="R239" s="23">
        <v>2142000</v>
      </c>
      <c r="S239" s="15">
        <v>3848400</v>
      </c>
      <c r="T239" s="382">
        <v>902000</v>
      </c>
      <c r="U239" s="382">
        <f t="shared" si="160"/>
        <v>865825.04</v>
      </c>
      <c r="V239" s="6" t="s">
        <v>88</v>
      </c>
      <c r="W239" s="22" t="s">
        <v>78</v>
      </c>
      <c r="X239" s="27">
        <v>0.65</v>
      </c>
      <c r="Y239" s="27" t="s">
        <v>79</v>
      </c>
      <c r="Z239" s="27"/>
      <c r="AA239" s="16"/>
      <c r="AB239" s="393">
        <f t="shared" si="161"/>
        <v>135793.875</v>
      </c>
      <c r="AC239" s="17"/>
      <c r="AD239" s="15">
        <f t="shared" si="162"/>
        <v>1392.3</v>
      </c>
      <c r="AE239" s="10"/>
    </row>
    <row r="240" spans="1:31" s="38" customFormat="1" ht="15.75" customHeight="1">
      <c r="A240" s="6" t="s">
        <v>106</v>
      </c>
      <c r="B240" s="10" t="str">
        <f>VLOOKUP(A240,[1]Sheet1!$A:$B,2,0)</f>
        <v>MODI</v>
      </c>
      <c r="C240" s="32" t="s">
        <v>104</v>
      </c>
      <c r="D240" s="31">
        <v>130040670018929</v>
      </c>
      <c r="E240" s="6" t="s">
        <v>74</v>
      </c>
      <c r="F240" s="10" t="s">
        <v>107</v>
      </c>
      <c r="G240" s="39" t="s">
        <v>76</v>
      </c>
      <c r="H240" s="40">
        <v>2024</v>
      </c>
      <c r="I240" s="334">
        <v>6</v>
      </c>
      <c r="J240" s="338">
        <v>45608</v>
      </c>
      <c r="K240" s="240"/>
      <c r="L240" s="400">
        <v>5.3999999999999999E-2</v>
      </c>
      <c r="M240" s="400">
        <v>6.3395833333333332E-2</v>
      </c>
      <c r="N240" s="405">
        <v>9.4000000000000004E-3</v>
      </c>
      <c r="O240" s="371">
        <f t="shared" si="146"/>
        <v>0</v>
      </c>
      <c r="P240" s="370">
        <v>1</v>
      </c>
      <c r="Q240" s="370">
        <f t="shared" si="144"/>
        <v>5.3999999999999999E-2</v>
      </c>
      <c r="R240" s="23">
        <v>1998000</v>
      </c>
      <c r="S240" s="15">
        <v>5846400</v>
      </c>
      <c r="T240" s="382">
        <v>902000</v>
      </c>
      <c r="U240" s="382">
        <f t="shared" si="160"/>
        <v>847043.84</v>
      </c>
      <c r="V240" s="6" t="s">
        <v>88</v>
      </c>
      <c r="W240" s="22" t="s">
        <v>78</v>
      </c>
      <c r="X240" s="27">
        <v>0.65</v>
      </c>
      <c r="Y240" s="27" t="s">
        <v>79</v>
      </c>
      <c r="Z240" s="27"/>
      <c r="AA240" s="16"/>
      <c r="AB240" s="393">
        <f t="shared" si="161"/>
        <v>126664.875</v>
      </c>
      <c r="AC240" s="17"/>
      <c r="AD240" s="15">
        <f t="shared" si="162"/>
        <v>1298.7</v>
      </c>
      <c r="AE240" s="10"/>
    </row>
    <row r="241" spans="1:31" s="38" customFormat="1" ht="15.75" customHeight="1">
      <c r="A241" s="6" t="s">
        <v>106</v>
      </c>
      <c r="B241" s="10" t="str">
        <f>VLOOKUP(A241,[1]Sheet1!$A:$B,2,0)</f>
        <v>MODI</v>
      </c>
      <c r="C241" s="32" t="s">
        <v>104</v>
      </c>
      <c r="D241" s="31">
        <v>130040670018929</v>
      </c>
      <c r="E241" s="6" t="s">
        <v>74</v>
      </c>
      <c r="F241" s="10" t="s">
        <v>107</v>
      </c>
      <c r="G241" s="39" t="s">
        <v>76</v>
      </c>
      <c r="H241" s="40">
        <v>2024</v>
      </c>
      <c r="I241" s="334">
        <v>7</v>
      </c>
      <c r="J241" s="338">
        <v>45608</v>
      </c>
      <c r="K241" s="240"/>
      <c r="L241" s="400">
        <v>5.3999999999999999E-2</v>
      </c>
      <c r="M241" s="400">
        <v>6.3395833333333332E-2</v>
      </c>
      <c r="N241" s="405">
        <v>9.4000000000000004E-3</v>
      </c>
      <c r="O241" s="371">
        <f t="shared" si="146"/>
        <v>0</v>
      </c>
      <c r="P241" s="370">
        <v>1</v>
      </c>
      <c r="Q241" s="370">
        <f t="shared" si="144"/>
        <v>5.3999999999999999E-2</v>
      </c>
      <c r="R241" s="23">
        <v>3096000</v>
      </c>
      <c r="S241" s="15">
        <v>8942400</v>
      </c>
      <c r="T241" s="382">
        <v>902000</v>
      </c>
      <c r="U241" s="382">
        <f t="shared" si="160"/>
        <v>817941.44</v>
      </c>
      <c r="V241" s="6" t="s">
        <v>88</v>
      </c>
      <c r="W241" s="22" t="s">
        <v>78</v>
      </c>
      <c r="X241" s="27">
        <v>0.65</v>
      </c>
      <c r="Y241" s="27" t="s">
        <v>79</v>
      </c>
      <c r="Z241" s="27"/>
      <c r="AA241" s="16"/>
      <c r="AB241" s="393">
        <f t="shared" si="161"/>
        <v>196273.5</v>
      </c>
      <c r="AC241" s="17"/>
      <c r="AD241" s="15">
        <f t="shared" si="162"/>
        <v>2012.4</v>
      </c>
      <c r="AE241" s="10"/>
    </row>
    <row r="242" spans="1:31" s="38" customFormat="1" ht="15.75" customHeight="1">
      <c r="A242" s="6" t="s">
        <v>106</v>
      </c>
      <c r="B242" s="10" t="str">
        <f>VLOOKUP(A242,[1]Sheet1!$A:$B,2,0)</f>
        <v>MODI</v>
      </c>
      <c r="C242" s="32" t="s">
        <v>104</v>
      </c>
      <c r="D242" s="31">
        <v>130040670018929</v>
      </c>
      <c r="E242" s="6" t="s">
        <v>74</v>
      </c>
      <c r="F242" s="10" t="s">
        <v>107</v>
      </c>
      <c r="G242" s="39" t="s">
        <v>76</v>
      </c>
      <c r="H242" s="40">
        <v>2024</v>
      </c>
      <c r="I242" s="334">
        <v>8</v>
      </c>
      <c r="J242" s="338">
        <v>45608</v>
      </c>
      <c r="K242" s="240"/>
      <c r="L242" s="400">
        <v>5.3999999999999999E-2</v>
      </c>
      <c r="M242" s="400">
        <v>6.3395833333333332E-2</v>
      </c>
      <c r="N242" s="405">
        <v>9.4000000000000004E-3</v>
      </c>
      <c r="O242" s="371">
        <f t="shared" si="146"/>
        <v>0</v>
      </c>
      <c r="P242" s="370">
        <v>1</v>
      </c>
      <c r="Q242" s="370">
        <f t="shared" si="144"/>
        <v>5.3999999999999999E-2</v>
      </c>
      <c r="R242" s="23">
        <v>3366000</v>
      </c>
      <c r="S242" s="15">
        <v>12308400</v>
      </c>
      <c r="T242" s="382">
        <v>902000</v>
      </c>
      <c r="U242" s="382">
        <f t="shared" si="160"/>
        <v>786301.04</v>
      </c>
      <c r="V242" s="6" t="s">
        <v>88</v>
      </c>
      <c r="W242" s="22" t="s">
        <v>78</v>
      </c>
      <c r="X242" s="27">
        <v>0.65</v>
      </c>
      <c r="Y242" s="27" t="s">
        <v>79</v>
      </c>
      <c r="Z242" s="27"/>
      <c r="AA242" s="16"/>
      <c r="AB242" s="393">
        <f t="shared" si="161"/>
        <v>213390.375</v>
      </c>
      <c r="AC242" s="17"/>
      <c r="AD242" s="15">
        <f t="shared" si="162"/>
        <v>2187.9</v>
      </c>
      <c r="AE242" s="10"/>
    </row>
    <row r="243" spans="1:31" s="38" customFormat="1" ht="15.75" customHeight="1">
      <c r="A243" s="6" t="s">
        <v>106</v>
      </c>
      <c r="B243" s="10" t="str">
        <f>VLOOKUP(A243,[1]Sheet1!$A:$B,2,0)</f>
        <v>MODI</v>
      </c>
      <c r="C243" s="32" t="s">
        <v>108</v>
      </c>
      <c r="D243" s="31">
        <v>130040670018930</v>
      </c>
      <c r="E243" s="6" t="s">
        <v>74</v>
      </c>
      <c r="F243" s="10" t="s">
        <v>107</v>
      </c>
      <c r="G243" s="39" t="s">
        <v>76</v>
      </c>
      <c r="H243" s="40">
        <v>2024</v>
      </c>
      <c r="I243" s="334">
        <v>4</v>
      </c>
      <c r="J243" s="338">
        <v>45608</v>
      </c>
      <c r="K243" s="240"/>
      <c r="L243" s="400">
        <v>0.08</v>
      </c>
      <c r="M243" s="400">
        <v>9.0708333333333335E-2</v>
      </c>
      <c r="N243" s="405">
        <v>1.0699999999999999E-2</v>
      </c>
      <c r="O243" s="371">
        <f t="shared" si="146"/>
        <v>0</v>
      </c>
      <c r="P243" s="370">
        <v>1</v>
      </c>
      <c r="Q243" s="370">
        <f t="shared" si="144"/>
        <v>0.08</v>
      </c>
      <c r="R243" s="23">
        <v>1706400</v>
      </c>
      <c r="S243" s="23">
        <v>1706400</v>
      </c>
      <c r="T243" s="382">
        <v>1028000</v>
      </c>
      <c r="U243" s="382">
        <f t="shared" si="160"/>
        <v>1009741.52</v>
      </c>
      <c r="V243" s="6" t="s">
        <v>88</v>
      </c>
      <c r="W243" s="22" t="s">
        <v>78</v>
      </c>
      <c r="X243" s="27">
        <v>1.2</v>
      </c>
      <c r="Y243" s="27" t="s">
        <v>79</v>
      </c>
      <c r="Z243" s="27"/>
      <c r="AA243" s="16"/>
      <c r="AB243" s="393">
        <f t="shared" si="161"/>
        <v>154784.70000000001</v>
      </c>
      <c r="AC243" s="17"/>
      <c r="AD243" s="15">
        <f t="shared" si="162"/>
        <v>2047.68</v>
      </c>
      <c r="AE243" s="10"/>
    </row>
    <row r="244" spans="1:31" s="38" customFormat="1" ht="15.75" customHeight="1">
      <c r="A244" s="6" t="s">
        <v>106</v>
      </c>
      <c r="B244" s="10" t="str">
        <f>VLOOKUP(A244,[1]Sheet1!$A:$B,2,0)</f>
        <v>MODI</v>
      </c>
      <c r="C244" s="32" t="s">
        <v>108</v>
      </c>
      <c r="D244" s="31">
        <v>130040670018930</v>
      </c>
      <c r="E244" s="6" t="s">
        <v>74</v>
      </c>
      <c r="F244" s="10" t="s">
        <v>107</v>
      </c>
      <c r="G244" s="39" t="s">
        <v>76</v>
      </c>
      <c r="H244" s="40">
        <v>2024</v>
      </c>
      <c r="I244" s="334">
        <v>5</v>
      </c>
      <c r="J244" s="338">
        <v>45608</v>
      </c>
      <c r="K244" s="240"/>
      <c r="L244" s="400">
        <v>0.08</v>
      </c>
      <c r="M244" s="400">
        <v>9.0708333333333335E-2</v>
      </c>
      <c r="N244" s="405">
        <v>1.0699999999999999E-2</v>
      </c>
      <c r="O244" s="371">
        <f t="shared" si="146"/>
        <v>0</v>
      </c>
      <c r="P244" s="370">
        <v>1</v>
      </c>
      <c r="Q244" s="370">
        <f t="shared" si="144"/>
        <v>0.08</v>
      </c>
      <c r="R244" s="23">
        <v>2133000</v>
      </c>
      <c r="S244" s="15">
        <v>3839400</v>
      </c>
      <c r="T244" s="382">
        <v>1028000</v>
      </c>
      <c r="U244" s="382">
        <f t="shared" si="160"/>
        <v>986918.42</v>
      </c>
      <c r="V244" s="6" t="s">
        <v>88</v>
      </c>
      <c r="W244" s="22" t="s">
        <v>78</v>
      </c>
      <c r="X244" s="27">
        <v>1.2</v>
      </c>
      <c r="Y244" s="27" t="s">
        <v>79</v>
      </c>
      <c r="Z244" s="27"/>
      <c r="AA244" s="16"/>
      <c r="AB244" s="393">
        <f t="shared" si="161"/>
        <v>193480.875</v>
      </c>
      <c r="AC244" s="17"/>
      <c r="AD244" s="15">
        <f t="shared" si="162"/>
        <v>2559.6</v>
      </c>
      <c r="AE244" s="10"/>
    </row>
    <row r="245" spans="1:31" s="38" customFormat="1" ht="15.75" customHeight="1">
      <c r="A245" s="6" t="s">
        <v>106</v>
      </c>
      <c r="B245" s="10" t="str">
        <f>VLOOKUP(A245,[1]Sheet1!$A:$B,2,0)</f>
        <v>MODI</v>
      </c>
      <c r="C245" s="32" t="s">
        <v>108</v>
      </c>
      <c r="D245" s="31">
        <v>130040670018930</v>
      </c>
      <c r="E245" s="6" t="s">
        <v>74</v>
      </c>
      <c r="F245" s="10" t="s">
        <v>107</v>
      </c>
      <c r="G245" s="39" t="s">
        <v>76</v>
      </c>
      <c r="H245" s="40">
        <v>2024</v>
      </c>
      <c r="I245" s="334">
        <v>6</v>
      </c>
      <c r="J245" s="338">
        <v>45608</v>
      </c>
      <c r="K245" s="240"/>
      <c r="L245" s="400">
        <v>0.08</v>
      </c>
      <c r="M245" s="400">
        <v>9.0708333333333335E-2</v>
      </c>
      <c r="N245" s="405">
        <v>1.0699999999999999E-2</v>
      </c>
      <c r="O245" s="371">
        <f t="shared" si="146"/>
        <v>0</v>
      </c>
      <c r="P245" s="370">
        <v>1</v>
      </c>
      <c r="Q245" s="370">
        <f t="shared" si="144"/>
        <v>0.08</v>
      </c>
      <c r="R245" s="23">
        <v>2124000</v>
      </c>
      <c r="S245" s="15">
        <v>5963400</v>
      </c>
      <c r="T245" s="382">
        <v>1028000</v>
      </c>
      <c r="U245" s="382">
        <f t="shared" si="160"/>
        <v>964191.62</v>
      </c>
      <c r="V245" s="6" t="s">
        <v>88</v>
      </c>
      <c r="W245" s="22" t="s">
        <v>78</v>
      </c>
      <c r="X245" s="27">
        <v>1.2</v>
      </c>
      <c r="Y245" s="27" t="s">
        <v>79</v>
      </c>
      <c r="Z245" s="27"/>
      <c r="AA245" s="16"/>
      <c r="AB245" s="393">
        <f t="shared" si="161"/>
        <v>192664.5</v>
      </c>
      <c r="AC245" s="17"/>
      <c r="AD245" s="15">
        <f t="shared" si="162"/>
        <v>2548.8000000000002</v>
      </c>
      <c r="AE245" s="10"/>
    </row>
    <row r="246" spans="1:31" s="38" customFormat="1" ht="15.75" customHeight="1">
      <c r="A246" s="6" t="s">
        <v>106</v>
      </c>
      <c r="B246" s="10" t="str">
        <f>VLOOKUP(A246,[1]Sheet1!$A:$B,2,0)</f>
        <v>MODI</v>
      </c>
      <c r="C246" s="32" t="s">
        <v>108</v>
      </c>
      <c r="D246" s="31">
        <v>130040670018930</v>
      </c>
      <c r="E246" s="6" t="s">
        <v>74</v>
      </c>
      <c r="F246" s="10" t="s">
        <v>107</v>
      </c>
      <c r="G246" s="39" t="s">
        <v>76</v>
      </c>
      <c r="H246" s="40">
        <v>2024</v>
      </c>
      <c r="I246" s="334">
        <v>7</v>
      </c>
      <c r="J246" s="338">
        <v>45608</v>
      </c>
      <c r="K246" s="240"/>
      <c r="L246" s="400">
        <v>0.08</v>
      </c>
      <c r="M246" s="400">
        <v>9.0708333333333335E-2</v>
      </c>
      <c r="N246" s="405">
        <v>1.0699999999999999E-2</v>
      </c>
      <c r="O246" s="371">
        <f t="shared" si="146"/>
        <v>0</v>
      </c>
      <c r="P246" s="370">
        <v>1</v>
      </c>
      <c r="Q246" s="370">
        <f t="shared" si="144"/>
        <v>0.08</v>
      </c>
      <c r="R246" s="23">
        <v>3123000</v>
      </c>
      <c r="S246" s="15">
        <v>9086400</v>
      </c>
      <c r="T246" s="382">
        <v>1028000</v>
      </c>
      <c r="U246" s="382">
        <f t="shared" si="160"/>
        <v>930775.52</v>
      </c>
      <c r="V246" s="6" t="s">
        <v>88</v>
      </c>
      <c r="W246" s="22" t="s">
        <v>78</v>
      </c>
      <c r="X246" s="27">
        <v>1.2</v>
      </c>
      <c r="Y246" s="27" t="s">
        <v>79</v>
      </c>
      <c r="Z246" s="27"/>
      <c r="AA246" s="16"/>
      <c r="AB246" s="393">
        <f t="shared" si="161"/>
        <v>283282.125</v>
      </c>
      <c r="AC246" s="17"/>
      <c r="AD246" s="15">
        <f t="shared" si="162"/>
        <v>3747.6</v>
      </c>
      <c r="AE246" s="10"/>
    </row>
    <row r="247" spans="1:31" s="38" customFormat="1" ht="15.75" customHeight="1">
      <c r="A247" s="6" t="s">
        <v>106</v>
      </c>
      <c r="B247" s="10" t="str">
        <f>VLOOKUP(A247,[1]Sheet1!$A:$B,2,0)</f>
        <v>MODI</v>
      </c>
      <c r="C247" s="32" t="s">
        <v>108</v>
      </c>
      <c r="D247" s="31">
        <v>130040670018930</v>
      </c>
      <c r="E247" s="6" t="s">
        <v>74</v>
      </c>
      <c r="F247" s="10" t="s">
        <v>107</v>
      </c>
      <c r="G247" s="39" t="s">
        <v>76</v>
      </c>
      <c r="H247" s="40">
        <v>2024</v>
      </c>
      <c r="I247" s="334">
        <v>8</v>
      </c>
      <c r="J247" s="338">
        <v>45608</v>
      </c>
      <c r="K247" s="240"/>
      <c r="L247" s="400">
        <v>0.08</v>
      </c>
      <c r="M247" s="400">
        <v>9.0708333333333335E-2</v>
      </c>
      <c r="N247" s="405">
        <v>1.0699999999999999E-2</v>
      </c>
      <c r="O247" s="371">
        <f t="shared" si="146"/>
        <v>0</v>
      </c>
      <c r="P247" s="370">
        <v>1</v>
      </c>
      <c r="Q247" s="370">
        <f t="shared" si="144"/>
        <v>0.08</v>
      </c>
      <c r="R247" s="23">
        <v>3429000</v>
      </c>
      <c r="S247" s="15">
        <v>12515400</v>
      </c>
      <c r="T247" s="382">
        <v>1028000</v>
      </c>
      <c r="U247" s="382">
        <f t="shared" si="160"/>
        <v>894085.22</v>
      </c>
      <c r="V247" s="6" t="s">
        <v>88</v>
      </c>
      <c r="W247" s="22" t="s">
        <v>78</v>
      </c>
      <c r="X247" s="27">
        <v>1.2</v>
      </c>
      <c r="Y247" s="27" t="s">
        <v>79</v>
      </c>
      <c r="Z247" s="27"/>
      <c r="AA247" s="16"/>
      <c r="AB247" s="393">
        <f t="shared" si="161"/>
        <v>311038.875</v>
      </c>
      <c r="AC247" s="17"/>
      <c r="AD247" s="15">
        <f t="shared" si="162"/>
        <v>4114.8</v>
      </c>
      <c r="AE247" s="10"/>
    </row>
    <row r="248" spans="1:31" s="346" customFormat="1" ht="15.75" customHeight="1">
      <c r="A248" s="347" t="s">
        <v>106</v>
      </c>
      <c r="B248" s="348" t="str">
        <f>VLOOKUP(A248,[1]Sheet1!$A:$B,2,0)</f>
        <v>MODI</v>
      </c>
      <c r="C248" s="349" t="s">
        <v>109</v>
      </c>
      <c r="D248" s="350">
        <v>130040670027765</v>
      </c>
      <c r="E248" s="347" t="s">
        <v>74</v>
      </c>
      <c r="F248" s="348" t="s">
        <v>110</v>
      </c>
      <c r="G248" s="351" t="s">
        <v>76</v>
      </c>
      <c r="H248" s="352">
        <v>2024</v>
      </c>
      <c r="I248" s="353">
        <v>2</v>
      </c>
      <c r="J248" s="354">
        <v>45660</v>
      </c>
      <c r="K248" s="355"/>
      <c r="L248" s="401">
        <v>3.2000000000000001E-2</v>
      </c>
      <c r="M248" s="401">
        <v>3.991666666666667E-2</v>
      </c>
      <c r="N248" s="406">
        <v>7.9000000000000008E-3</v>
      </c>
      <c r="O248" s="372">
        <f t="shared" ref="O248:O249" si="168">K248*N248</f>
        <v>0</v>
      </c>
      <c r="P248" s="373">
        <v>1</v>
      </c>
      <c r="Q248" s="373">
        <f t="shared" ref="Q248:Q249" si="169">P248*L248</f>
        <v>3.2000000000000001E-2</v>
      </c>
      <c r="R248" s="356">
        <v>248000</v>
      </c>
      <c r="S248" s="357">
        <f>R248</f>
        <v>248000</v>
      </c>
      <c r="T248" s="383">
        <v>1520000</v>
      </c>
      <c r="U248" s="383">
        <f t="shared" ref="U248:U249" si="170">T248-N248*S248</f>
        <v>1518040.8</v>
      </c>
      <c r="V248" s="347" t="s">
        <v>88</v>
      </c>
      <c r="W248" s="22" t="s">
        <v>78</v>
      </c>
      <c r="X248" s="358">
        <v>0.56999999999999995</v>
      </c>
      <c r="Y248" s="358" t="s">
        <v>79</v>
      </c>
      <c r="Z248" s="358"/>
      <c r="AA248" s="359"/>
      <c r="AB248" s="394">
        <f t="shared" ref="AB248:AB249" si="171">M248*R248</f>
        <v>9899.3333333333339</v>
      </c>
      <c r="AC248" s="360"/>
      <c r="AD248" s="357">
        <f t="shared" ref="AD248:AD249" si="172">R248*X248/1000</f>
        <v>141.36000000000001</v>
      </c>
      <c r="AE248" s="348"/>
    </row>
    <row r="249" spans="1:31" s="346" customFormat="1" ht="15.75" customHeight="1">
      <c r="A249" s="347" t="s">
        <v>106</v>
      </c>
      <c r="B249" s="348" t="str">
        <f>VLOOKUP(A249,[1]Sheet1!$A:$B,2,0)</f>
        <v>MODI</v>
      </c>
      <c r="C249" s="349" t="s">
        <v>109</v>
      </c>
      <c r="D249" s="350">
        <v>130040670027765</v>
      </c>
      <c r="E249" s="347" t="s">
        <v>74</v>
      </c>
      <c r="F249" s="348" t="s">
        <v>110</v>
      </c>
      <c r="G249" s="351" t="s">
        <v>76</v>
      </c>
      <c r="H249" s="352">
        <v>2024</v>
      </c>
      <c r="I249" s="353">
        <v>3</v>
      </c>
      <c r="J249" s="354">
        <v>45660</v>
      </c>
      <c r="K249" s="355"/>
      <c r="L249" s="401">
        <v>3.2000000000000001E-2</v>
      </c>
      <c r="M249" s="401">
        <v>3.991666666666667E-2</v>
      </c>
      <c r="N249" s="406">
        <v>7.9000000000000008E-3</v>
      </c>
      <c r="O249" s="372">
        <f t="shared" si="168"/>
        <v>0</v>
      </c>
      <c r="P249" s="373">
        <v>1</v>
      </c>
      <c r="Q249" s="373">
        <f t="shared" si="169"/>
        <v>3.2000000000000001E-2</v>
      </c>
      <c r="R249" s="356">
        <v>1705362</v>
      </c>
      <c r="S249" s="357">
        <f t="shared" ref="S249:S254" si="173">R249+S248</f>
        <v>1953362</v>
      </c>
      <c r="T249" s="383">
        <v>1520000</v>
      </c>
      <c r="U249" s="383">
        <f t="shared" si="170"/>
        <v>1504568.4402000001</v>
      </c>
      <c r="V249" s="347" t="s">
        <v>88</v>
      </c>
      <c r="W249" s="22" t="s">
        <v>78</v>
      </c>
      <c r="X249" s="358">
        <v>0.56999999999999995</v>
      </c>
      <c r="Y249" s="358" t="s">
        <v>79</v>
      </c>
      <c r="Z249" s="358"/>
      <c r="AA249" s="359"/>
      <c r="AB249" s="394">
        <f t="shared" si="171"/>
        <v>68072.366500000004</v>
      </c>
      <c r="AC249" s="360"/>
      <c r="AD249" s="357">
        <f t="shared" si="172"/>
        <v>972.05633999999998</v>
      </c>
      <c r="AE249" s="348"/>
    </row>
    <row r="250" spans="1:31" s="38" customFormat="1" ht="15.75" customHeight="1">
      <c r="A250" s="6" t="s">
        <v>106</v>
      </c>
      <c r="B250" s="10" t="str">
        <f>VLOOKUP(A250,[1]Sheet1!$A:$B,2,0)</f>
        <v>MODI</v>
      </c>
      <c r="C250" s="32" t="s">
        <v>109</v>
      </c>
      <c r="D250" s="31">
        <v>130040670027765</v>
      </c>
      <c r="E250" s="6" t="s">
        <v>74</v>
      </c>
      <c r="F250" s="10" t="s">
        <v>110</v>
      </c>
      <c r="G250" s="39" t="s">
        <v>76</v>
      </c>
      <c r="H250" s="40">
        <v>2024</v>
      </c>
      <c r="I250" s="334">
        <v>4</v>
      </c>
      <c r="J250" s="338">
        <v>45608</v>
      </c>
      <c r="K250" s="240"/>
      <c r="L250" s="400">
        <v>3.2000000000000001E-2</v>
      </c>
      <c r="M250" s="400">
        <v>3.991666666666667E-2</v>
      </c>
      <c r="N250" s="405">
        <v>7.9000000000000008E-3</v>
      </c>
      <c r="O250" s="371">
        <f t="shared" si="146"/>
        <v>0</v>
      </c>
      <c r="P250" s="370">
        <v>1</v>
      </c>
      <c r="Q250" s="370">
        <f t="shared" si="144"/>
        <v>3.2000000000000001E-2</v>
      </c>
      <c r="R250" s="23">
        <v>3414419</v>
      </c>
      <c r="S250" s="15">
        <f t="shared" si="173"/>
        <v>5367781</v>
      </c>
      <c r="T250" s="382">
        <v>1520000</v>
      </c>
      <c r="U250" s="382">
        <f t="shared" si="160"/>
        <v>1477594.5301000001</v>
      </c>
      <c r="V250" s="6" t="s">
        <v>88</v>
      </c>
      <c r="W250" s="22" t="s">
        <v>78</v>
      </c>
      <c r="X250" s="27">
        <v>0.56999999999999995</v>
      </c>
      <c r="Y250" s="27" t="s">
        <v>79</v>
      </c>
      <c r="Z250" s="27"/>
      <c r="AA250" s="16"/>
      <c r="AB250" s="393">
        <f t="shared" si="161"/>
        <v>136292.22508333335</v>
      </c>
      <c r="AC250" s="17"/>
      <c r="AD250" s="15">
        <f t="shared" si="162"/>
        <v>1946.2188299999998</v>
      </c>
      <c r="AE250" s="10"/>
    </row>
    <row r="251" spans="1:31" s="38" customFormat="1" ht="15.75" customHeight="1">
      <c r="A251" s="6" t="s">
        <v>106</v>
      </c>
      <c r="B251" s="10" t="str">
        <f>VLOOKUP(A251,[1]Sheet1!$A:$B,2,0)</f>
        <v>MODI</v>
      </c>
      <c r="C251" s="32" t="s">
        <v>109</v>
      </c>
      <c r="D251" s="31">
        <v>130040670027765</v>
      </c>
      <c r="E251" s="6" t="s">
        <v>74</v>
      </c>
      <c r="F251" s="10" t="s">
        <v>110</v>
      </c>
      <c r="G251" s="39" t="s">
        <v>76</v>
      </c>
      <c r="H251" s="40">
        <v>2024</v>
      </c>
      <c r="I251" s="334">
        <v>5</v>
      </c>
      <c r="J251" s="338">
        <v>45608</v>
      </c>
      <c r="K251" s="240"/>
      <c r="L251" s="400">
        <v>3.2000000000000001E-2</v>
      </c>
      <c r="M251" s="400">
        <v>3.991666666666667E-2</v>
      </c>
      <c r="N251" s="405">
        <v>7.9000000000000008E-3</v>
      </c>
      <c r="O251" s="371">
        <f t="shared" si="146"/>
        <v>0</v>
      </c>
      <c r="P251" s="370">
        <v>1</v>
      </c>
      <c r="Q251" s="370">
        <f t="shared" si="144"/>
        <v>3.2000000000000001E-2</v>
      </c>
      <c r="R251" s="23">
        <v>6674487</v>
      </c>
      <c r="S251" s="15">
        <f t="shared" si="173"/>
        <v>12042268</v>
      </c>
      <c r="T251" s="382">
        <v>1520000</v>
      </c>
      <c r="U251" s="382">
        <f t="shared" si="160"/>
        <v>1424866.0828</v>
      </c>
      <c r="V251" s="6" t="s">
        <v>88</v>
      </c>
      <c r="W251" s="22" t="s">
        <v>78</v>
      </c>
      <c r="X251" s="27">
        <v>0.56999999999999995</v>
      </c>
      <c r="Y251" s="27" t="s">
        <v>79</v>
      </c>
      <c r="Z251" s="27"/>
      <c r="AA251" s="16"/>
      <c r="AB251" s="393">
        <f t="shared" si="161"/>
        <v>266423.27275</v>
      </c>
      <c r="AC251" s="17"/>
      <c r="AD251" s="15">
        <f t="shared" si="162"/>
        <v>3804.45759</v>
      </c>
      <c r="AE251" s="10"/>
    </row>
    <row r="252" spans="1:31" s="38" customFormat="1" ht="15.75" customHeight="1">
      <c r="A252" s="6" t="s">
        <v>106</v>
      </c>
      <c r="B252" s="10" t="str">
        <f>VLOOKUP(A252,[1]Sheet1!$A:$B,2,0)</f>
        <v>MODI</v>
      </c>
      <c r="C252" s="32" t="s">
        <v>109</v>
      </c>
      <c r="D252" s="31">
        <v>130040670027765</v>
      </c>
      <c r="E252" s="6" t="s">
        <v>74</v>
      </c>
      <c r="F252" s="10" t="s">
        <v>110</v>
      </c>
      <c r="G252" s="39" t="s">
        <v>76</v>
      </c>
      <c r="H252" s="40">
        <v>2024</v>
      </c>
      <c r="I252" s="334">
        <v>6</v>
      </c>
      <c r="J252" s="338">
        <v>45608</v>
      </c>
      <c r="K252" s="240"/>
      <c r="L252" s="400">
        <v>3.2000000000000001E-2</v>
      </c>
      <c r="M252" s="400">
        <v>3.991666666666667E-2</v>
      </c>
      <c r="N252" s="405">
        <v>7.9000000000000008E-3</v>
      </c>
      <c r="O252" s="371">
        <f t="shared" si="146"/>
        <v>0</v>
      </c>
      <c r="P252" s="370">
        <v>1</v>
      </c>
      <c r="Q252" s="370">
        <f t="shared" si="144"/>
        <v>3.2000000000000001E-2</v>
      </c>
      <c r="R252" s="23">
        <v>4393454</v>
      </c>
      <c r="S252" s="15">
        <f t="shared" si="173"/>
        <v>16435722</v>
      </c>
      <c r="T252" s="382">
        <v>1520000</v>
      </c>
      <c r="U252" s="382">
        <f t="shared" si="160"/>
        <v>1390157.7962</v>
      </c>
      <c r="V252" s="6" t="s">
        <v>88</v>
      </c>
      <c r="W252" s="22" t="s">
        <v>78</v>
      </c>
      <c r="X252" s="27">
        <v>0.56999999999999995</v>
      </c>
      <c r="Y252" s="27" t="s">
        <v>79</v>
      </c>
      <c r="Z252" s="27"/>
      <c r="AA252" s="16"/>
      <c r="AB252" s="393">
        <f t="shared" si="161"/>
        <v>175372.03883333335</v>
      </c>
      <c r="AC252" s="17"/>
      <c r="AD252" s="15">
        <f t="shared" si="162"/>
        <v>2504.2687799999999</v>
      </c>
      <c r="AE252" s="10"/>
    </row>
    <row r="253" spans="1:31" s="38" customFormat="1" ht="15.75" customHeight="1">
      <c r="A253" s="6" t="s">
        <v>106</v>
      </c>
      <c r="B253" s="10" t="str">
        <f>VLOOKUP(A253,[1]Sheet1!$A:$B,2,0)</f>
        <v>MODI</v>
      </c>
      <c r="C253" s="32" t="s">
        <v>109</v>
      </c>
      <c r="D253" s="31">
        <v>130040670027765</v>
      </c>
      <c r="E253" s="6" t="s">
        <v>74</v>
      </c>
      <c r="F253" s="10" t="s">
        <v>110</v>
      </c>
      <c r="G253" s="39" t="s">
        <v>76</v>
      </c>
      <c r="H253" s="40">
        <v>2024</v>
      </c>
      <c r="I253" s="334">
        <v>7</v>
      </c>
      <c r="J253" s="338">
        <v>45608</v>
      </c>
      <c r="K253" s="240"/>
      <c r="L253" s="400">
        <v>3.2000000000000001E-2</v>
      </c>
      <c r="M253" s="400">
        <v>3.991666666666667E-2</v>
      </c>
      <c r="N253" s="405">
        <v>7.9000000000000008E-3</v>
      </c>
      <c r="O253" s="371">
        <f t="shared" si="146"/>
        <v>0</v>
      </c>
      <c r="P253" s="370">
        <v>1</v>
      </c>
      <c r="Q253" s="370">
        <f t="shared" si="144"/>
        <v>3.2000000000000001E-2</v>
      </c>
      <c r="R253" s="23">
        <v>7746916</v>
      </c>
      <c r="S253" s="15">
        <f t="shared" si="173"/>
        <v>24182638</v>
      </c>
      <c r="T253" s="382">
        <v>1520000</v>
      </c>
      <c r="U253" s="382">
        <f t="shared" si="160"/>
        <v>1328957.1598</v>
      </c>
      <c r="V253" s="6" t="s">
        <v>88</v>
      </c>
      <c r="W253" s="22" t="s">
        <v>78</v>
      </c>
      <c r="X253" s="27">
        <v>0.56999999999999995</v>
      </c>
      <c r="Y253" s="27" t="s">
        <v>79</v>
      </c>
      <c r="Z253" s="27"/>
      <c r="AA253" s="16"/>
      <c r="AB253" s="393">
        <f t="shared" si="161"/>
        <v>309231.06366666668</v>
      </c>
      <c r="AC253" s="17"/>
      <c r="AD253" s="15">
        <f t="shared" si="162"/>
        <v>4415.742119999999</v>
      </c>
      <c r="AE253" s="10"/>
    </row>
    <row r="254" spans="1:31" s="38" customFormat="1" ht="15.75" customHeight="1">
      <c r="A254" s="6" t="s">
        <v>106</v>
      </c>
      <c r="B254" s="10" t="str">
        <f>VLOOKUP(A254,[1]Sheet1!$A:$B,2,0)</f>
        <v>MODI</v>
      </c>
      <c r="C254" s="32" t="s">
        <v>109</v>
      </c>
      <c r="D254" s="31">
        <v>130040670027765</v>
      </c>
      <c r="E254" s="6" t="s">
        <v>74</v>
      </c>
      <c r="F254" s="10" t="s">
        <v>110</v>
      </c>
      <c r="G254" s="39" t="s">
        <v>76</v>
      </c>
      <c r="H254" s="40">
        <v>2024</v>
      </c>
      <c r="I254" s="334">
        <v>8</v>
      </c>
      <c r="J254" s="338">
        <v>45608</v>
      </c>
      <c r="K254" s="240"/>
      <c r="L254" s="400">
        <v>3.2000000000000001E-2</v>
      </c>
      <c r="M254" s="400">
        <v>3.991666666666667E-2</v>
      </c>
      <c r="N254" s="405">
        <v>7.9000000000000008E-3</v>
      </c>
      <c r="O254" s="371">
        <f t="shared" si="146"/>
        <v>0</v>
      </c>
      <c r="P254" s="370">
        <v>1</v>
      </c>
      <c r="Q254" s="370">
        <f t="shared" si="144"/>
        <v>3.2000000000000001E-2</v>
      </c>
      <c r="R254" s="23">
        <v>8779384</v>
      </c>
      <c r="S254" s="15">
        <f t="shared" si="173"/>
        <v>32962022</v>
      </c>
      <c r="T254" s="382">
        <v>1520000</v>
      </c>
      <c r="U254" s="382">
        <f t="shared" si="160"/>
        <v>1259600.0262</v>
      </c>
      <c r="V254" s="6" t="s">
        <v>88</v>
      </c>
      <c r="W254" s="22" t="s">
        <v>78</v>
      </c>
      <c r="X254" s="27">
        <v>0.56999999999999995</v>
      </c>
      <c r="Y254" s="27" t="s">
        <v>79</v>
      </c>
      <c r="Z254" s="27"/>
      <c r="AA254" s="16"/>
      <c r="AB254" s="393">
        <f t="shared" si="161"/>
        <v>350443.74466666667</v>
      </c>
      <c r="AC254" s="17"/>
      <c r="AD254" s="15">
        <f t="shared" si="162"/>
        <v>5004.2488800000001</v>
      </c>
      <c r="AE254" s="10"/>
    </row>
    <row r="255" spans="1:31" s="38" customFormat="1" ht="15.75" customHeight="1">
      <c r="A255" s="6" t="s">
        <v>106</v>
      </c>
      <c r="B255" s="10" t="str">
        <f>VLOOKUP(A255,[1]Sheet1!$A:$B,2,0)</f>
        <v>MODI</v>
      </c>
      <c r="C255" s="32" t="s">
        <v>111</v>
      </c>
      <c r="D255" s="31">
        <v>130040670018919</v>
      </c>
      <c r="E255" s="6" t="s">
        <v>74</v>
      </c>
      <c r="F255" s="10" t="s">
        <v>75</v>
      </c>
      <c r="G255" s="39" t="s">
        <v>76</v>
      </c>
      <c r="H255" s="40">
        <v>2024</v>
      </c>
      <c r="I255" s="334">
        <v>4</v>
      </c>
      <c r="J255" s="338">
        <v>45608</v>
      </c>
      <c r="K255" s="240"/>
      <c r="L255" s="400">
        <v>0.128</v>
      </c>
      <c r="M255" s="400">
        <v>0.14570833333333333</v>
      </c>
      <c r="N255" s="405">
        <v>1.77E-2</v>
      </c>
      <c r="O255" s="371">
        <f t="shared" si="146"/>
        <v>0</v>
      </c>
      <c r="P255" s="370">
        <v>1</v>
      </c>
      <c r="Q255" s="370">
        <f t="shared" si="144"/>
        <v>0.128</v>
      </c>
      <c r="R255" s="23">
        <v>783222</v>
      </c>
      <c r="S255" s="23">
        <v>783222</v>
      </c>
      <c r="T255" s="382">
        <v>1700000</v>
      </c>
      <c r="U255" s="382">
        <f t="shared" si="160"/>
        <v>1686136.9705999999</v>
      </c>
      <c r="V255" s="6" t="s">
        <v>88</v>
      </c>
      <c r="W255" s="22" t="s">
        <v>78</v>
      </c>
      <c r="X255" s="27">
        <v>3.55</v>
      </c>
      <c r="Y255" s="27" t="s">
        <v>79</v>
      </c>
      <c r="Z255" s="27"/>
      <c r="AA255" s="16"/>
      <c r="AB255" s="393">
        <f t="shared" si="161"/>
        <v>114121.97224999999</v>
      </c>
      <c r="AC255" s="17"/>
      <c r="AD255" s="15">
        <f t="shared" si="162"/>
        <v>2780.4381000000003</v>
      </c>
      <c r="AE255" s="10"/>
    </row>
    <row r="256" spans="1:31" s="38" customFormat="1" ht="15.75" customHeight="1">
      <c r="A256" s="6" t="s">
        <v>106</v>
      </c>
      <c r="B256" s="10" t="str">
        <f>VLOOKUP(A256,[1]Sheet1!$A:$B,2,0)</f>
        <v>MODI</v>
      </c>
      <c r="C256" s="32" t="s">
        <v>111</v>
      </c>
      <c r="D256" s="31">
        <v>130040670018919</v>
      </c>
      <c r="E256" s="6" t="s">
        <v>74</v>
      </c>
      <c r="F256" s="10" t="s">
        <v>75</v>
      </c>
      <c r="G256" s="39" t="s">
        <v>76</v>
      </c>
      <c r="H256" s="40">
        <v>2024</v>
      </c>
      <c r="I256" s="334">
        <v>5</v>
      </c>
      <c r="J256" s="338">
        <v>45608</v>
      </c>
      <c r="K256" s="240"/>
      <c r="L256" s="400">
        <v>0.128</v>
      </c>
      <c r="M256" s="400">
        <v>0.14570833333333333</v>
      </c>
      <c r="N256" s="405">
        <v>1.77E-2</v>
      </c>
      <c r="O256" s="371">
        <f t="shared" si="146"/>
        <v>0</v>
      </c>
      <c r="P256" s="370">
        <v>1</v>
      </c>
      <c r="Q256" s="370">
        <f t="shared" si="144"/>
        <v>0.128</v>
      </c>
      <c r="R256" s="23">
        <v>1565157</v>
      </c>
      <c r="S256" s="15">
        <v>2348379</v>
      </c>
      <c r="T256" s="382">
        <v>1700000</v>
      </c>
      <c r="U256" s="382">
        <f t="shared" si="160"/>
        <v>1658433.6917000001</v>
      </c>
      <c r="V256" s="6" t="s">
        <v>88</v>
      </c>
      <c r="W256" s="22" t="s">
        <v>78</v>
      </c>
      <c r="X256" s="27">
        <v>3.55</v>
      </c>
      <c r="Y256" s="27" t="s">
        <v>79</v>
      </c>
      <c r="Z256" s="27"/>
      <c r="AA256" s="16"/>
      <c r="AB256" s="393">
        <f t="shared" si="161"/>
        <v>228056.41787499998</v>
      </c>
      <c r="AC256" s="17"/>
      <c r="AD256" s="15">
        <f t="shared" si="162"/>
        <v>5556.30735</v>
      </c>
      <c r="AE256" s="10"/>
    </row>
    <row r="257" spans="1:31" s="38" customFormat="1" ht="15.75" customHeight="1">
      <c r="A257" s="6" t="s">
        <v>106</v>
      </c>
      <c r="B257" s="10" t="str">
        <f>VLOOKUP(A257,[1]Sheet1!$A:$B,2,0)</f>
        <v>MODI</v>
      </c>
      <c r="C257" s="32" t="s">
        <v>111</v>
      </c>
      <c r="D257" s="31">
        <v>130040670018919</v>
      </c>
      <c r="E257" s="6" t="s">
        <v>74</v>
      </c>
      <c r="F257" s="10" t="s">
        <v>75</v>
      </c>
      <c r="G257" s="39" t="s">
        <v>76</v>
      </c>
      <c r="H257" s="40">
        <v>2024</v>
      </c>
      <c r="I257" s="334">
        <v>6</v>
      </c>
      <c r="J257" s="338">
        <v>45608</v>
      </c>
      <c r="K257" s="240"/>
      <c r="L257" s="400">
        <v>0.128</v>
      </c>
      <c r="M257" s="400">
        <v>0.14570833333333333</v>
      </c>
      <c r="N257" s="405">
        <v>1.77E-2</v>
      </c>
      <c r="O257" s="371">
        <f t="shared" si="146"/>
        <v>0</v>
      </c>
      <c r="P257" s="370">
        <v>1</v>
      </c>
      <c r="Q257" s="370">
        <f t="shared" si="144"/>
        <v>0.128</v>
      </c>
      <c r="R257" s="23">
        <v>1474531</v>
      </c>
      <c r="S257" s="15">
        <v>3822910</v>
      </c>
      <c r="T257" s="382">
        <v>1700000</v>
      </c>
      <c r="U257" s="382">
        <f t="shared" si="160"/>
        <v>1632334.493</v>
      </c>
      <c r="V257" s="6" t="s">
        <v>88</v>
      </c>
      <c r="W257" s="22" t="s">
        <v>78</v>
      </c>
      <c r="X257" s="27">
        <v>3.55</v>
      </c>
      <c r="Y257" s="27" t="s">
        <v>79</v>
      </c>
      <c r="Z257" s="27"/>
      <c r="AA257" s="16"/>
      <c r="AB257" s="393">
        <f t="shared" si="161"/>
        <v>214851.45445833332</v>
      </c>
      <c r="AC257" s="17"/>
      <c r="AD257" s="15">
        <f t="shared" si="162"/>
        <v>5234.5850499999997</v>
      </c>
      <c r="AE257" s="10"/>
    </row>
    <row r="258" spans="1:31" s="38" customFormat="1" ht="15.75" customHeight="1">
      <c r="A258" s="6" t="s">
        <v>106</v>
      </c>
      <c r="B258" s="10" t="str">
        <f>VLOOKUP(A258,[1]Sheet1!$A:$B,2,0)</f>
        <v>MODI</v>
      </c>
      <c r="C258" s="32" t="s">
        <v>111</v>
      </c>
      <c r="D258" s="31">
        <v>130040670018919</v>
      </c>
      <c r="E258" s="6" t="s">
        <v>74</v>
      </c>
      <c r="F258" s="10" t="s">
        <v>75</v>
      </c>
      <c r="G258" s="39" t="s">
        <v>76</v>
      </c>
      <c r="H258" s="40">
        <v>2024</v>
      </c>
      <c r="I258" s="334">
        <v>7</v>
      </c>
      <c r="J258" s="338">
        <v>45608</v>
      </c>
      <c r="K258" s="240"/>
      <c r="L258" s="400">
        <v>0.128</v>
      </c>
      <c r="M258" s="400">
        <v>0.14570833333333333</v>
      </c>
      <c r="N258" s="405">
        <v>1.77E-2</v>
      </c>
      <c r="O258" s="371">
        <f t="shared" si="146"/>
        <v>0</v>
      </c>
      <c r="P258" s="370">
        <v>1</v>
      </c>
      <c r="Q258" s="370">
        <f t="shared" si="144"/>
        <v>0.128</v>
      </c>
      <c r="R258" s="23">
        <v>1895708</v>
      </c>
      <c r="S258" s="15">
        <v>5718618</v>
      </c>
      <c r="T258" s="382">
        <v>1700000</v>
      </c>
      <c r="U258" s="382">
        <f t="shared" si="160"/>
        <v>1598780.4613999999</v>
      </c>
      <c r="V258" s="6" t="s">
        <v>88</v>
      </c>
      <c r="W258" s="22" t="s">
        <v>78</v>
      </c>
      <c r="X258" s="27">
        <v>3.55</v>
      </c>
      <c r="Y258" s="27" t="s">
        <v>79</v>
      </c>
      <c r="Z258" s="27"/>
      <c r="AA258" s="16"/>
      <c r="AB258" s="393">
        <f t="shared" si="161"/>
        <v>276220.45316666667</v>
      </c>
      <c r="AC258" s="17"/>
      <c r="AD258" s="15">
        <f t="shared" si="162"/>
        <v>6729.7633999999998</v>
      </c>
      <c r="AE258" s="10"/>
    </row>
    <row r="259" spans="1:31" s="38" customFormat="1" ht="15.75" customHeight="1">
      <c r="A259" s="6" t="s">
        <v>106</v>
      </c>
      <c r="B259" s="10" t="str">
        <f>VLOOKUP(A259,[1]Sheet1!$A:$B,2,0)</f>
        <v>MODI</v>
      </c>
      <c r="C259" s="32" t="s">
        <v>111</v>
      </c>
      <c r="D259" s="31">
        <v>130040670018919</v>
      </c>
      <c r="E259" s="6" t="s">
        <v>74</v>
      </c>
      <c r="F259" s="10" t="s">
        <v>75</v>
      </c>
      <c r="G259" s="39" t="s">
        <v>76</v>
      </c>
      <c r="H259" s="40">
        <v>2024</v>
      </c>
      <c r="I259" s="334">
        <v>8</v>
      </c>
      <c r="J259" s="338">
        <v>45608</v>
      </c>
      <c r="K259" s="240"/>
      <c r="L259" s="400">
        <v>0.128</v>
      </c>
      <c r="M259" s="400">
        <v>0.14570833333333333</v>
      </c>
      <c r="N259" s="405">
        <v>1.77E-2</v>
      </c>
      <c r="O259" s="371">
        <f t="shared" si="146"/>
        <v>0</v>
      </c>
      <c r="P259" s="370">
        <v>1</v>
      </c>
      <c r="Q259" s="370">
        <f t="shared" si="144"/>
        <v>0.128</v>
      </c>
      <c r="R259" s="23">
        <v>1853066</v>
      </c>
      <c r="S259" s="15">
        <v>7571684</v>
      </c>
      <c r="T259" s="382">
        <v>1700000</v>
      </c>
      <c r="U259" s="382">
        <f t="shared" si="160"/>
        <v>1565981.1932000001</v>
      </c>
      <c r="V259" s="6" t="s">
        <v>88</v>
      </c>
      <c r="W259" s="22" t="s">
        <v>78</v>
      </c>
      <c r="X259" s="27">
        <v>3.55</v>
      </c>
      <c r="Y259" s="27" t="s">
        <v>79</v>
      </c>
      <c r="Z259" s="27"/>
      <c r="AA259" s="16"/>
      <c r="AB259" s="393">
        <f t="shared" si="161"/>
        <v>270007.15841666667</v>
      </c>
      <c r="AC259" s="17"/>
      <c r="AD259" s="15">
        <f t="shared" si="162"/>
        <v>6578.3842999999997</v>
      </c>
      <c r="AE259" s="10"/>
    </row>
    <row r="260" spans="1:31" s="38" customFormat="1" ht="15.75" customHeight="1">
      <c r="A260" s="6" t="s">
        <v>106</v>
      </c>
      <c r="B260" s="10" t="str">
        <f>VLOOKUP(A260,[1]Sheet1!$A:$B,2,0)</f>
        <v>MODI</v>
      </c>
      <c r="C260" s="32" t="s">
        <v>112</v>
      </c>
      <c r="D260" s="31">
        <v>130040670018925</v>
      </c>
      <c r="E260" s="6" t="s">
        <v>74</v>
      </c>
      <c r="F260" s="10" t="s">
        <v>107</v>
      </c>
      <c r="G260" s="39" t="s">
        <v>76</v>
      </c>
      <c r="H260" s="40">
        <v>2024</v>
      </c>
      <c r="I260" s="334">
        <v>4</v>
      </c>
      <c r="J260" s="338">
        <v>45608</v>
      </c>
      <c r="K260" s="240"/>
      <c r="L260" s="400">
        <v>3.6999999999999998E-2</v>
      </c>
      <c r="M260" s="400">
        <v>4.2354166666666665E-2</v>
      </c>
      <c r="N260" s="405">
        <v>5.4000000000000003E-3</v>
      </c>
      <c r="O260" s="371">
        <f t="shared" si="146"/>
        <v>0</v>
      </c>
      <c r="P260" s="370">
        <v>1</v>
      </c>
      <c r="Q260" s="370">
        <f t="shared" si="144"/>
        <v>3.6999999999999998E-2</v>
      </c>
      <c r="R260" s="23">
        <v>1706400</v>
      </c>
      <c r="S260" s="23">
        <v>1706400</v>
      </c>
      <c r="T260" s="382">
        <v>514000</v>
      </c>
      <c r="U260" s="382">
        <f t="shared" si="160"/>
        <v>504785.44</v>
      </c>
      <c r="V260" s="6" t="s">
        <v>88</v>
      </c>
      <c r="W260" s="22" t="s">
        <v>78</v>
      </c>
      <c r="X260" s="27">
        <v>0.9</v>
      </c>
      <c r="Y260" s="27" t="s">
        <v>79</v>
      </c>
      <c r="Z260" s="27"/>
      <c r="AA260" s="16"/>
      <c r="AB260" s="393">
        <f t="shared" si="161"/>
        <v>72273.149999999994</v>
      </c>
      <c r="AC260" s="17"/>
      <c r="AD260" s="15">
        <f t="shared" si="162"/>
        <v>1535.76</v>
      </c>
      <c r="AE260" s="10"/>
    </row>
    <row r="261" spans="1:31" s="38" customFormat="1" ht="15.75" customHeight="1">
      <c r="A261" s="6" t="s">
        <v>106</v>
      </c>
      <c r="B261" s="10" t="str">
        <f>VLOOKUP(A261,[1]Sheet1!$A:$B,2,0)</f>
        <v>MODI</v>
      </c>
      <c r="C261" s="32" t="s">
        <v>112</v>
      </c>
      <c r="D261" s="31">
        <v>130040670018925</v>
      </c>
      <c r="E261" s="6" t="s">
        <v>74</v>
      </c>
      <c r="F261" s="10" t="s">
        <v>107</v>
      </c>
      <c r="G261" s="39" t="s">
        <v>76</v>
      </c>
      <c r="H261" s="40">
        <v>2024</v>
      </c>
      <c r="I261" s="334">
        <v>5</v>
      </c>
      <c r="J261" s="338">
        <v>45608</v>
      </c>
      <c r="K261" s="240"/>
      <c r="L261" s="400">
        <v>3.6999999999999998E-2</v>
      </c>
      <c r="M261" s="400">
        <v>4.2354166666666665E-2</v>
      </c>
      <c r="N261" s="405">
        <v>5.4000000000000003E-3</v>
      </c>
      <c r="O261" s="371">
        <f t="shared" si="146"/>
        <v>0</v>
      </c>
      <c r="P261" s="370">
        <v>1</v>
      </c>
      <c r="Q261" s="370">
        <f t="shared" si="144"/>
        <v>3.6999999999999998E-2</v>
      </c>
      <c r="R261" s="23">
        <v>2021650</v>
      </c>
      <c r="S261" s="15">
        <v>3728050</v>
      </c>
      <c r="T261" s="382">
        <v>514000</v>
      </c>
      <c r="U261" s="382">
        <f t="shared" si="160"/>
        <v>493868.53</v>
      </c>
      <c r="V261" s="6" t="s">
        <v>88</v>
      </c>
      <c r="W261" s="22" t="s">
        <v>78</v>
      </c>
      <c r="X261" s="27">
        <v>0.9</v>
      </c>
      <c r="Y261" s="27" t="s">
        <v>79</v>
      </c>
      <c r="Z261" s="27"/>
      <c r="AA261" s="16"/>
      <c r="AB261" s="393">
        <f t="shared" si="161"/>
        <v>85625.301041666666</v>
      </c>
      <c r="AC261" s="17"/>
      <c r="AD261" s="15">
        <f t="shared" si="162"/>
        <v>1819.4849999999999</v>
      </c>
      <c r="AE261" s="10"/>
    </row>
    <row r="262" spans="1:31" s="38" customFormat="1" ht="15.75" customHeight="1">
      <c r="A262" s="6" t="s">
        <v>106</v>
      </c>
      <c r="B262" s="10" t="str">
        <f>VLOOKUP(A262,[1]Sheet1!$A:$B,2,0)</f>
        <v>MODI</v>
      </c>
      <c r="C262" s="32" t="s">
        <v>112</v>
      </c>
      <c r="D262" s="31">
        <v>130040670018925</v>
      </c>
      <c r="E262" s="6" t="s">
        <v>74</v>
      </c>
      <c r="F262" s="10" t="s">
        <v>107</v>
      </c>
      <c r="G262" s="39" t="s">
        <v>76</v>
      </c>
      <c r="H262" s="40">
        <v>2024</v>
      </c>
      <c r="I262" s="334">
        <v>6</v>
      </c>
      <c r="J262" s="338">
        <v>45608</v>
      </c>
      <c r="K262" s="240"/>
      <c r="L262" s="400">
        <v>3.6999999999999998E-2</v>
      </c>
      <c r="M262" s="400">
        <v>4.2354166666666665E-2</v>
      </c>
      <c r="N262" s="405">
        <v>5.4000000000000003E-3</v>
      </c>
      <c r="O262" s="371">
        <f t="shared" si="146"/>
        <v>0</v>
      </c>
      <c r="P262" s="370">
        <v>1</v>
      </c>
      <c r="Q262" s="370">
        <f t="shared" si="144"/>
        <v>3.6999999999999998E-2</v>
      </c>
      <c r="R262" s="23">
        <v>2088000</v>
      </c>
      <c r="S262" s="15">
        <v>5816050</v>
      </c>
      <c r="T262" s="382">
        <v>514000</v>
      </c>
      <c r="U262" s="382">
        <f t="shared" si="160"/>
        <v>482593.33</v>
      </c>
      <c r="V262" s="6" t="s">
        <v>88</v>
      </c>
      <c r="W262" s="22" t="s">
        <v>78</v>
      </c>
      <c r="X262" s="27">
        <v>0.9</v>
      </c>
      <c r="Y262" s="27" t="s">
        <v>79</v>
      </c>
      <c r="Z262" s="27"/>
      <c r="AA262" s="16"/>
      <c r="AB262" s="393">
        <f t="shared" si="161"/>
        <v>88435.5</v>
      </c>
      <c r="AC262" s="17"/>
      <c r="AD262" s="15">
        <f t="shared" si="162"/>
        <v>1879.2</v>
      </c>
      <c r="AE262" s="10"/>
    </row>
    <row r="263" spans="1:31" s="38" customFormat="1" ht="15.75" customHeight="1">
      <c r="A263" s="6" t="s">
        <v>106</v>
      </c>
      <c r="B263" s="10" t="str">
        <f>VLOOKUP(A263,[1]Sheet1!$A:$B,2,0)</f>
        <v>MODI</v>
      </c>
      <c r="C263" s="32" t="s">
        <v>112</v>
      </c>
      <c r="D263" s="31">
        <v>130040670018925</v>
      </c>
      <c r="E263" s="6" t="s">
        <v>74</v>
      </c>
      <c r="F263" s="10" t="s">
        <v>107</v>
      </c>
      <c r="G263" s="39" t="s">
        <v>76</v>
      </c>
      <c r="H263" s="40">
        <v>2024</v>
      </c>
      <c r="I263" s="334">
        <v>7</v>
      </c>
      <c r="J263" s="338">
        <v>45608</v>
      </c>
      <c r="K263" s="240"/>
      <c r="L263" s="400">
        <v>3.6999999999999998E-2</v>
      </c>
      <c r="M263" s="400">
        <v>4.2354166666666665E-2</v>
      </c>
      <c r="N263" s="405">
        <v>5.4000000000000003E-3</v>
      </c>
      <c r="O263" s="371">
        <f t="shared" si="146"/>
        <v>0</v>
      </c>
      <c r="P263" s="370">
        <v>1</v>
      </c>
      <c r="Q263" s="370">
        <f t="shared" si="144"/>
        <v>3.6999999999999998E-2</v>
      </c>
      <c r="R263" s="23">
        <v>2756000</v>
      </c>
      <c r="S263" s="15">
        <v>8572050</v>
      </c>
      <c r="T263" s="382">
        <v>514000</v>
      </c>
      <c r="U263" s="382">
        <f t="shared" si="160"/>
        <v>467710.93</v>
      </c>
      <c r="V263" s="6" t="s">
        <v>88</v>
      </c>
      <c r="W263" s="22" t="s">
        <v>78</v>
      </c>
      <c r="X263" s="27">
        <v>0.9</v>
      </c>
      <c r="Y263" s="27" t="s">
        <v>79</v>
      </c>
      <c r="Z263" s="27"/>
      <c r="AA263" s="16"/>
      <c r="AB263" s="393">
        <f t="shared" si="161"/>
        <v>116728.08333333333</v>
      </c>
      <c r="AC263" s="17"/>
      <c r="AD263" s="15">
        <f t="shared" si="162"/>
        <v>2480.4</v>
      </c>
      <c r="AE263" s="10"/>
    </row>
    <row r="264" spans="1:31" s="38" customFormat="1" ht="15.75" customHeight="1">
      <c r="A264" s="6" t="s">
        <v>106</v>
      </c>
      <c r="B264" s="10" t="str">
        <f>VLOOKUP(A264,[1]Sheet1!$A:$B,2,0)</f>
        <v>MODI</v>
      </c>
      <c r="C264" s="32" t="s">
        <v>112</v>
      </c>
      <c r="D264" s="31">
        <v>130040670018925</v>
      </c>
      <c r="E264" s="6" t="s">
        <v>74</v>
      </c>
      <c r="F264" s="10" t="s">
        <v>107</v>
      </c>
      <c r="G264" s="39" t="s">
        <v>76</v>
      </c>
      <c r="H264" s="40">
        <v>2024</v>
      </c>
      <c r="I264" s="334">
        <v>8</v>
      </c>
      <c r="J264" s="338">
        <v>45608</v>
      </c>
      <c r="K264" s="240"/>
      <c r="L264" s="400">
        <v>3.6999999999999998E-2</v>
      </c>
      <c r="M264" s="400">
        <v>4.2354166666666665E-2</v>
      </c>
      <c r="N264" s="405">
        <v>5.4000000000000003E-3</v>
      </c>
      <c r="O264" s="371">
        <f t="shared" si="146"/>
        <v>0</v>
      </c>
      <c r="P264" s="370">
        <v>1</v>
      </c>
      <c r="Q264" s="370">
        <f t="shared" si="144"/>
        <v>3.6999999999999998E-2</v>
      </c>
      <c r="R264" s="23">
        <v>3637690</v>
      </c>
      <c r="S264" s="15">
        <v>12209740</v>
      </c>
      <c r="T264" s="382">
        <v>514000</v>
      </c>
      <c r="U264" s="382">
        <f t="shared" si="160"/>
        <v>448067.40399999998</v>
      </c>
      <c r="V264" s="6" t="s">
        <v>88</v>
      </c>
      <c r="W264" s="22" t="s">
        <v>78</v>
      </c>
      <c r="X264" s="27">
        <v>0.9</v>
      </c>
      <c r="Y264" s="27" t="s">
        <v>79</v>
      </c>
      <c r="Z264" s="27"/>
      <c r="AA264" s="16"/>
      <c r="AB264" s="393">
        <f t="shared" si="161"/>
        <v>154071.32854166665</v>
      </c>
      <c r="AC264" s="17"/>
      <c r="AD264" s="15">
        <f t="shared" si="162"/>
        <v>3273.9209999999998</v>
      </c>
      <c r="AE264" s="10"/>
    </row>
    <row r="265" spans="1:31" s="38" customFormat="1" ht="15.75" customHeight="1">
      <c r="A265" s="6" t="s">
        <v>113</v>
      </c>
      <c r="B265" s="10" t="str">
        <f>VLOOKUP(A265,[1]Sheet1!$A:$B,2,0)</f>
        <v>MODI</v>
      </c>
      <c r="C265" s="32" t="s">
        <v>114</v>
      </c>
      <c r="D265" s="31">
        <v>130040670023899</v>
      </c>
      <c r="E265" s="6" t="s">
        <v>74</v>
      </c>
      <c r="F265" s="10" t="s">
        <v>75</v>
      </c>
      <c r="G265" s="39" t="s">
        <v>76</v>
      </c>
      <c r="H265" s="40">
        <v>2024</v>
      </c>
      <c r="I265" s="334">
        <v>4</v>
      </c>
      <c r="J265" s="338">
        <v>45608</v>
      </c>
      <c r="K265" s="240"/>
      <c r="L265" s="400">
        <v>0.12970000000000001</v>
      </c>
      <c r="M265" s="400">
        <v>0.15260000000000001</v>
      </c>
      <c r="N265" s="405">
        <v>2.29E-2</v>
      </c>
      <c r="O265" s="371">
        <f t="shared" si="146"/>
        <v>0</v>
      </c>
      <c r="P265" s="370">
        <v>1</v>
      </c>
      <c r="Q265" s="370">
        <f t="shared" si="144"/>
        <v>0.12970000000000001</v>
      </c>
      <c r="R265" s="23">
        <v>233480</v>
      </c>
      <c r="S265" s="23">
        <v>233480</v>
      </c>
      <c r="T265" s="382">
        <v>1100000</v>
      </c>
      <c r="U265" s="382">
        <f t="shared" si="160"/>
        <v>1094653.308</v>
      </c>
      <c r="V265" s="6" t="s">
        <v>115</v>
      </c>
      <c r="W265" s="22" t="s">
        <v>78</v>
      </c>
      <c r="X265" s="27">
        <v>2.7</v>
      </c>
      <c r="Y265" s="27" t="s">
        <v>93</v>
      </c>
      <c r="Z265" s="27"/>
      <c r="AA265" s="16"/>
      <c r="AB265" s="393">
        <f t="shared" si="161"/>
        <v>35629.048000000003</v>
      </c>
      <c r="AC265" s="17"/>
      <c r="AD265" s="15">
        <f t="shared" si="162"/>
        <v>630.39599999999996</v>
      </c>
      <c r="AE265" s="10"/>
    </row>
    <row r="266" spans="1:31" s="38" customFormat="1" ht="15.75" customHeight="1">
      <c r="A266" s="6" t="s">
        <v>113</v>
      </c>
      <c r="B266" s="10" t="str">
        <f>VLOOKUP(A266,[1]Sheet1!$A:$B,2,0)</f>
        <v>MODI</v>
      </c>
      <c r="C266" s="32" t="s">
        <v>114</v>
      </c>
      <c r="D266" s="31">
        <v>130040670023899</v>
      </c>
      <c r="E266" s="6" t="s">
        <v>74</v>
      </c>
      <c r="F266" s="10" t="s">
        <v>75</v>
      </c>
      <c r="G266" s="39" t="s">
        <v>76</v>
      </c>
      <c r="H266" s="40">
        <v>2024</v>
      </c>
      <c r="I266" s="334">
        <v>5</v>
      </c>
      <c r="J266" s="338">
        <v>45608</v>
      </c>
      <c r="K266" s="240"/>
      <c r="L266" s="400">
        <v>0.12970000000000001</v>
      </c>
      <c r="M266" s="400">
        <v>0.15260000000000001</v>
      </c>
      <c r="N266" s="405">
        <v>2.29E-2</v>
      </c>
      <c r="O266" s="371">
        <f t="shared" si="146"/>
        <v>0</v>
      </c>
      <c r="P266" s="370">
        <v>1</v>
      </c>
      <c r="Q266" s="370">
        <f t="shared" ref="Q266:Q329" si="174">P266*L266</f>
        <v>0.12970000000000001</v>
      </c>
      <c r="R266" s="23">
        <v>1610870</v>
      </c>
      <c r="S266" s="15">
        <v>1844350</v>
      </c>
      <c r="T266" s="382">
        <v>1100000</v>
      </c>
      <c r="U266" s="382">
        <f t="shared" si="160"/>
        <v>1057764.385</v>
      </c>
      <c r="V266" s="6" t="s">
        <v>115</v>
      </c>
      <c r="W266" s="22" t="s">
        <v>78</v>
      </c>
      <c r="X266" s="27">
        <v>2.7</v>
      </c>
      <c r="Y266" s="27" t="s">
        <v>93</v>
      </c>
      <c r="Z266" s="27"/>
      <c r="AA266" s="16"/>
      <c r="AB266" s="393">
        <f t="shared" si="161"/>
        <v>245818.76200000002</v>
      </c>
      <c r="AC266" s="17"/>
      <c r="AD266" s="15">
        <f t="shared" si="162"/>
        <v>4349.3490000000002</v>
      </c>
      <c r="AE266" s="10"/>
    </row>
    <row r="267" spans="1:31" s="38" customFormat="1" ht="15.75" customHeight="1">
      <c r="A267" s="6" t="s">
        <v>113</v>
      </c>
      <c r="B267" s="10" t="str">
        <f>VLOOKUP(A267,[1]Sheet1!$A:$B,2,0)</f>
        <v>MODI</v>
      </c>
      <c r="C267" s="32" t="s">
        <v>114</v>
      </c>
      <c r="D267" s="31">
        <v>130040670023899</v>
      </c>
      <c r="E267" s="6" t="s">
        <v>74</v>
      </c>
      <c r="F267" s="10" t="s">
        <v>75</v>
      </c>
      <c r="G267" s="39" t="s">
        <v>76</v>
      </c>
      <c r="H267" s="40">
        <v>2024</v>
      </c>
      <c r="I267" s="334">
        <v>6</v>
      </c>
      <c r="J267" s="338">
        <v>45608</v>
      </c>
      <c r="K267" s="240"/>
      <c r="L267" s="400">
        <v>0.12970000000000001</v>
      </c>
      <c r="M267" s="400">
        <v>0.15260000000000001</v>
      </c>
      <c r="N267" s="405">
        <v>2.29E-2</v>
      </c>
      <c r="O267" s="371">
        <f t="shared" si="146"/>
        <v>0</v>
      </c>
      <c r="P267" s="370">
        <v>1</v>
      </c>
      <c r="Q267" s="370">
        <f t="shared" si="174"/>
        <v>0.12970000000000001</v>
      </c>
      <c r="R267" s="23">
        <v>522981</v>
      </c>
      <c r="S267" s="15">
        <v>2367331</v>
      </c>
      <c r="T267" s="382">
        <v>1100000</v>
      </c>
      <c r="U267" s="382">
        <f t="shared" si="160"/>
        <v>1045788.1200999999</v>
      </c>
      <c r="V267" s="6" t="s">
        <v>115</v>
      </c>
      <c r="W267" s="22" t="s">
        <v>78</v>
      </c>
      <c r="X267" s="27">
        <v>2.7</v>
      </c>
      <c r="Y267" s="27" t="s">
        <v>93</v>
      </c>
      <c r="Z267" s="27"/>
      <c r="AA267" s="16"/>
      <c r="AB267" s="393">
        <f t="shared" si="161"/>
        <v>79806.900600000008</v>
      </c>
      <c r="AC267" s="17"/>
      <c r="AD267" s="15">
        <f t="shared" si="162"/>
        <v>1412.0487000000003</v>
      </c>
      <c r="AE267" s="10"/>
    </row>
    <row r="268" spans="1:31" s="38" customFormat="1" ht="15.75" customHeight="1">
      <c r="A268" s="6" t="s">
        <v>113</v>
      </c>
      <c r="B268" s="10" t="str">
        <f>VLOOKUP(A268,[1]Sheet1!$A:$B,2,0)</f>
        <v>MODI</v>
      </c>
      <c r="C268" s="32" t="s">
        <v>114</v>
      </c>
      <c r="D268" s="31">
        <v>130040670023899</v>
      </c>
      <c r="E268" s="6" t="s">
        <v>74</v>
      </c>
      <c r="F268" s="10" t="s">
        <v>75</v>
      </c>
      <c r="G268" s="39" t="s">
        <v>76</v>
      </c>
      <c r="H268" s="40">
        <v>2024</v>
      </c>
      <c r="I268" s="334">
        <v>7</v>
      </c>
      <c r="J268" s="338">
        <v>45608</v>
      </c>
      <c r="K268" s="240"/>
      <c r="L268" s="400">
        <v>0.12970000000000001</v>
      </c>
      <c r="M268" s="400">
        <v>0.15260000000000001</v>
      </c>
      <c r="N268" s="405">
        <v>2.29E-2</v>
      </c>
      <c r="O268" s="371">
        <f t="shared" si="146"/>
        <v>0</v>
      </c>
      <c r="P268" s="370">
        <v>1</v>
      </c>
      <c r="Q268" s="370">
        <f t="shared" si="174"/>
        <v>0.12970000000000001</v>
      </c>
      <c r="R268" s="23">
        <v>1103698</v>
      </c>
      <c r="S268" s="15">
        <v>3471029</v>
      </c>
      <c r="T268" s="382">
        <v>1100000</v>
      </c>
      <c r="U268" s="382">
        <f t="shared" si="160"/>
        <v>1020513.4359</v>
      </c>
      <c r="V268" s="6" t="s">
        <v>115</v>
      </c>
      <c r="W268" s="22" t="s">
        <v>78</v>
      </c>
      <c r="X268" s="27">
        <v>2.7</v>
      </c>
      <c r="Y268" s="27" t="s">
        <v>93</v>
      </c>
      <c r="Z268" s="27"/>
      <c r="AA268" s="16"/>
      <c r="AB268" s="393">
        <f t="shared" si="161"/>
        <v>168424.31480000002</v>
      </c>
      <c r="AC268" s="17"/>
      <c r="AD268" s="15">
        <f t="shared" si="162"/>
        <v>2979.9846000000002</v>
      </c>
      <c r="AE268" s="10"/>
    </row>
    <row r="269" spans="1:31" s="38" customFormat="1" ht="15.75" customHeight="1">
      <c r="A269" s="6" t="s">
        <v>113</v>
      </c>
      <c r="B269" s="10" t="str">
        <f>VLOOKUP(A269,[1]Sheet1!$A:$B,2,0)</f>
        <v>MODI</v>
      </c>
      <c r="C269" s="32" t="s">
        <v>114</v>
      </c>
      <c r="D269" s="31">
        <v>130040670023899</v>
      </c>
      <c r="E269" s="6" t="s">
        <v>74</v>
      </c>
      <c r="F269" s="10" t="s">
        <v>75</v>
      </c>
      <c r="G269" s="39" t="s">
        <v>76</v>
      </c>
      <c r="H269" s="40">
        <v>2024</v>
      </c>
      <c r="I269" s="334">
        <v>8</v>
      </c>
      <c r="J269" s="338">
        <v>45608</v>
      </c>
      <c r="K269" s="240"/>
      <c r="L269" s="400">
        <v>0.12970000000000001</v>
      </c>
      <c r="M269" s="400">
        <v>0.15260000000000001</v>
      </c>
      <c r="N269" s="405">
        <v>2.29E-2</v>
      </c>
      <c r="O269" s="371">
        <f t="shared" ref="O269:O332" si="175">K269*N269</f>
        <v>0</v>
      </c>
      <c r="P269" s="370">
        <v>1</v>
      </c>
      <c r="Q269" s="370">
        <f t="shared" si="174"/>
        <v>0.12970000000000001</v>
      </c>
      <c r="R269" s="23">
        <v>1321142</v>
      </c>
      <c r="S269" s="15">
        <v>4792171</v>
      </c>
      <c r="T269" s="382">
        <v>1100000</v>
      </c>
      <c r="U269" s="382">
        <f t="shared" si="160"/>
        <v>990259.28410000005</v>
      </c>
      <c r="V269" s="6" t="s">
        <v>115</v>
      </c>
      <c r="W269" s="22" t="s">
        <v>78</v>
      </c>
      <c r="X269" s="27">
        <v>2.7</v>
      </c>
      <c r="Y269" s="27" t="s">
        <v>93</v>
      </c>
      <c r="Z269" s="27"/>
      <c r="AA269" s="16"/>
      <c r="AB269" s="393">
        <f t="shared" si="161"/>
        <v>201606.26920000001</v>
      </c>
      <c r="AC269" s="17"/>
      <c r="AD269" s="15">
        <f t="shared" si="162"/>
        <v>3567.0834000000004</v>
      </c>
      <c r="AE269" s="10"/>
    </row>
    <row r="270" spans="1:31" s="38" customFormat="1" ht="15.75" customHeight="1">
      <c r="A270" s="6" t="s">
        <v>113</v>
      </c>
      <c r="B270" s="10" t="str">
        <f>VLOOKUP(A270,[1]Sheet1!$A:$B,2,0)</f>
        <v>MODI</v>
      </c>
      <c r="C270" s="32" t="s">
        <v>111</v>
      </c>
      <c r="D270" s="31">
        <v>130040670023900</v>
      </c>
      <c r="E270" s="6" t="s">
        <v>74</v>
      </c>
      <c r="F270" s="10" t="s">
        <v>75</v>
      </c>
      <c r="G270" s="39" t="s">
        <v>76</v>
      </c>
      <c r="H270" s="40">
        <v>2024</v>
      </c>
      <c r="I270" s="334">
        <v>4</v>
      </c>
      <c r="J270" s="338">
        <v>45608</v>
      </c>
      <c r="K270" s="240"/>
      <c r="L270" s="400">
        <v>0.1128</v>
      </c>
      <c r="M270" s="400">
        <v>0.1336</v>
      </c>
      <c r="N270" s="405">
        <v>2.0799999999999999E-2</v>
      </c>
      <c r="O270" s="371">
        <f t="shared" si="175"/>
        <v>0</v>
      </c>
      <c r="P270" s="370">
        <v>1</v>
      </c>
      <c r="Q270" s="370">
        <f t="shared" si="174"/>
        <v>0.1128</v>
      </c>
      <c r="R270" s="23">
        <v>182464</v>
      </c>
      <c r="S270" s="23">
        <v>182464</v>
      </c>
      <c r="T270" s="382">
        <v>999000</v>
      </c>
      <c r="U270" s="382">
        <f t="shared" si="160"/>
        <v>995204.74879999994</v>
      </c>
      <c r="V270" s="6" t="s">
        <v>115</v>
      </c>
      <c r="W270" s="22" t="s">
        <v>78</v>
      </c>
      <c r="X270" s="27">
        <v>1.5</v>
      </c>
      <c r="Y270" s="27" t="s">
        <v>93</v>
      </c>
      <c r="Z270" s="27"/>
      <c r="AA270" s="16"/>
      <c r="AB270" s="393">
        <f t="shared" si="161"/>
        <v>24377.190399999999</v>
      </c>
      <c r="AC270" s="17"/>
      <c r="AD270" s="15">
        <f t="shared" si="162"/>
        <v>273.69600000000003</v>
      </c>
      <c r="AE270" s="10"/>
    </row>
    <row r="271" spans="1:31" s="38" customFormat="1" ht="15.75" customHeight="1">
      <c r="A271" s="6" t="s">
        <v>113</v>
      </c>
      <c r="B271" s="10" t="str">
        <f>VLOOKUP(A271,[1]Sheet1!$A:$B,2,0)</f>
        <v>MODI</v>
      </c>
      <c r="C271" s="32" t="s">
        <v>111</v>
      </c>
      <c r="D271" s="31">
        <v>130040670023900</v>
      </c>
      <c r="E271" s="6" t="s">
        <v>74</v>
      </c>
      <c r="F271" s="10" t="s">
        <v>75</v>
      </c>
      <c r="G271" s="39" t="s">
        <v>76</v>
      </c>
      <c r="H271" s="40">
        <v>2024</v>
      </c>
      <c r="I271" s="334">
        <v>5</v>
      </c>
      <c r="J271" s="338">
        <v>45608</v>
      </c>
      <c r="K271" s="240"/>
      <c r="L271" s="400">
        <v>0.1128</v>
      </c>
      <c r="M271" s="400">
        <v>0.1336</v>
      </c>
      <c r="N271" s="405">
        <v>2.0799999999999999E-2</v>
      </c>
      <c r="O271" s="371">
        <f t="shared" si="175"/>
        <v>0</v>
      </c>
      <c r="P271" s="370">
        <v>1</v>
      </c>
      <c r="Q271" s="370">
        <f t="shared" si="174"/>
        <v>0.1128</v>
      </c>
      <c r="R271" s="23">
        <v>1608928</v>
      </c>
      <c r="S271" s="15">
        <v>1791392</v>
      </c>
      <c r="T271" s="382">
        <v>999000</v>
      </c>
      <c r="U271" s="382">
        <f t="shared" si="160"/>
        <v>961739.04639999999</v>
      </c>
      <c r="V271" s="6" t="s">
        <v>115</v>
      </c>
      <c r="W271" s="22" t="s">
        <v>78</v>
      </c>
      <c r="X271" s="27">
        <v>1.5</v>
      </c>
      <c r="Y271" s="27" t="s">
        <v>93</v>
      </c>
      <c r="Z271" s="27"/>
      <c r="AA271" s="16"/>
      <c r="AB271" s="393">
        <f t="shared" si="161"/>
        <v>214952.78080000001</v>
      </c>
      <c r="AC271" s="17"/>
      <c r="AD271" s="15">
        <f t="shared" si="162"/>
        <v>2413.3919999999998</v>
      </c>
      <c r="AE271" s="10"/>
    </row>
    <row r="272" spans="1:31" s="38" customFormat="1" ht="15.75" customHeight="1">
      <c r="A272" s="6" t="s">
        <v>113</v>
      </c>
      <c r="B272" s="10" t="str">
        <f>VLOOKUP(A272,[1]Sheet1!$A:$B,2,0)</f>
        <v>MODI</v>
      </c>
      <c r="C272" s="32" t="s">
        <v>111</v>
      </c>
      <c r="D272" s="31">
        <v>130040670023900</v>
      </c>
      <c r="E272" s="6" t="s">
        <v>74</v>
      </c>
      <c r="F272" s="10" t="s">
        <v>75</v>
      </c>
      <c r="G272" s="39" t="s">
        <v>76</v>
      </c>
      <c r="H272" s="40">
        <v>2024</v>
      </c>
      <c r="I272" s="334">
        <v>6</v>
      </c>
      <c r="J272" s="338">
        <v>45608</v>
      </c>
      <c r="K272" s="240"/>
      <c r="L272" s="400">
        <v>0.1128</v>
      </c>
      <c r="M272" s="400">
        <v>0.1336</v>
      </c>
      <c r="N272" s="405">
        <v>2.0799999999999999E-2</v>
      </c>
      <c r="O272" s="371">
        <f t="shared" si="175"/>
        <v>0</v>
      </c>
      <c r="P272" s="370">
        <v>1</v>
      </c>
      <c r="Q272" s="370">
        <f t="shared" si="174"/>
        <v>0.1128</v>
      </c>
      <c r="R272" s="23">
        <v>547354</v>
      </c>
      <c r="S272" s="15">
        <v>2338746</v>
      </c>
      <c r="T272" s="382">
        <v>999000</v>
      </c>
      <c r="U272" s="382">
        <f t="shared" si="160"/>
        <v>950354.08319999999</v>
      </c>
      <c r="V272" s="6" t="s">
        <v>115</v>
      </c>
      <c r="W272" s="22" t="s">
        <v>78</v>
      </c>
      <c r="X272" s="27">
        <v>1.5</v>
      </c>
      <c r="Y272" s="27" t="s">
        <v>93</v>
      </c>
      <c r="Z272" s="27"/>
      <c r="AA272" s="16"/>
      <c r="AB272" s="393">
        <f t="shared" si="161"/>
        <v>73126.494399999996</v>
      </c>
      <c r="AC272" s="17"/>
      <c r="AD272" s="15">
        <f t="shared" si="162"/>
        <v>821.03099999999995</v>
      </c>
      <c r="AE272" s="10"/>
    </row>
    <row r="273" spans="1:31" s="38" customFormat="1" ht="15.75" customHeight="1">
      <c r="A273" s="6" t="s">
        <v>113</v>
      </c>
      <c r="B273" s="10" t="str">
        <f>VLOOKUP(A273,[1]Sheet1!$A:$B,2,0)</f>
        <v>MODI</v>
      </c>
      <c r="C273" s="32" t="s">
        <v>111</v>
      </c>
      <c r="D273" s="31">
        <v>130040670023900</v>
      </c>
      <c r="E273" s="6" t="s">
        <v>74</v>
      </c>
      <c r="F273" s="10" t="s">
        <v>75</v>
      </c>
      <c r="G273" s="39" t="s">
        <v>76</v>
      </c>
      <c r="H273" s="40">
        <v>2024</v>
      </c>
      <c r="I273" s="334">
        <v>7</v>
      </c>
      <c r="J273" s="338">
        <v>45608</v>
      </c>
      <c r="K273" s="240"/>
      <c r="L273" s="400">
        <v>0.1128</v>
      </c>
      <c r="M273" s="400">
        <v>0.1336</v>
      </c>
      <c r="N273" s="405">
        <v>2.0799999999999999E-2</v>
      </c>
      <c r="O273" s="371">
        <f t="shared" si="175"/>
        <v>0</v>
      </c>
      <c r="P273" s="370">
        <v>1</v>
      </c>
      <c r="Q273" s="370">
        <f t="shared" si="174"/>
        <v>0.1128</v>
      </c>
      <c r="R273" s="23">
        <v>1151892</v>
      </c>
      <c r="S273" s="15">
        <v>3490638</v>
      </c>
      <c r="T273" s="382">
        <v>999000</v>
      </c>
      <c r="U273" s="382">
        <f t="shared" si="160"/>
        <v>926394.72959999996</v>
      </c>
      <c r="V273" s="6" t="s">
        <v>115</v>
      </c>
      <c r="W273" s="22" t="s">
        <v>78</v>
      </c>
      <c r="X273" s="27">
        <v>1.5</v>
      </c>
      <c r="Y273" s="27" t="s">
        <v>93</v>
      </c>
      <c r="Z273" s="27"/>
      <c r="AA273" s="16"/>
      <c r="AB273" s="393">
        <f t="shared" si="161"/>
        <v>153892.77119999999</v>
      </c>
      <c r="AC273" s="17"/>
      <c r="AD273" s="15">
        <f t="shared" si="162"/>
        <v>1727.838</v>
      </c>
      <c r="AE273" s="10"/>
    </row>
    <row r="274" spans="1:31" s="38" customFormat="1" ht="15.75" customHeight="1">
      <c r="A274" s="6" t="s">
        <v>113</v>
      </c>
      <c r="B274" s="10" t="str">
        <f>VLOOKUP(A274,[1]Sheet1!$A:$B,2,0)</f>
        <v>MODI</v>
      </c>
      <c r="C274" s="32" t="s">
        <v>111</v>
      </c>
      <c r="D274" s="31">
        <v>130040670023900</v>
      </c>
      <c r="E274" s="6" t="s">
        <v>74</v>
      </c>
      <c r="F274" s="10" t="s">
        <v>75</v>
      </c>
      <c r="G274" s="39" t="s">
        <v>76</v>
      </c>
      <c r="H274" s="40">
        <v>2024</v>
      </c>
      <c r="I274" s="334">
        <v>8</v>
      </c>
      <c r="J274" s="338">
        <v>45608</v>
      </c>
      <c r="K274" s="240"/>
      <c r="L274" s="400">
        <v>0.1128</v>
      </c>
      <c r="M274" s="400">
        <v>0.1336</v>
      </c>
      <c r="N274" s="405">
        <v>2.0799999999999999E-2</v>
      </c>
      <c r="O274" s="371">
        <f t="shared" si="175"/>
        <v>0</v>
      </c>
      <c r="P274" s="370">
        <v>1</v>
      </c>
      <c r="Q274" s="370">
        <f t="shared" si="174"/>
        <v>0.1128</v>
      </c>
      <c r="R274" s="23">
        <v>1308774</v>
      </c>
      <c r="S274" s="15">
        <v>4799412</v>
      </c>
      <c r="T274" s="382">
        <v>999000</v>
      </c>
      <c r="U274" s="382">
        <f t="shared" si="160"/>
        <v>899172.2304</v>
      </c>
      <c r="V274" s="6" t="s">
        <v>115</v>
      </c>
      <c r="W274" s="22" t="s">
        <v>78</v>
      </c>
      <c r="X274" s="27">
        <v>1.5</v>
      </c>
      <c r="Y274" s="27" t="s">
        <v>93</v>
      </c>
      <c r="Z274" s="27"/>
      <c r="AA274" s="16"/>
      <c r="AB274" s="393">
        <f t="shared" si="161"/>
        <v>174852.2064</v>
      </c>
      <c r="AC274" s="17"/>
      <c r="AD274" s="15">
        <f t="shared" si="162"/>
        <v>1963.1610000000001</v>
      </c>
      <c r="AE274" s="10"/>
    </row>
    <row r="275" spans="1:31" s="38" customFormat="1" ht="15.75" customHeight="1">
      <c r="A275" s="6" t="s">
        <v>113</v>
      </c>
      <c r="B275" s="10" t="str">
        <f>VLOOKUP(A275,[1]Sheet1!$A:$B,2,0)</f>
        <v>MODI</v>
      </c>
      <c r="C275" s="32" t="s">
        <v>116</v>
      </c>
      <c r="D275" s="31">
        <v>130040670023906</v>
      </c>
      <c r="E275" s="6" t="s">
        <v>74</v>
      </c>
      <c r="F275" s="10" t="s">
        <v>75</v>
      </c>
      <c r="G275" s="39" t="s">
        <v>76</v>
      </c>
      <c r="H275" s="40">
        <v>2024</v>
      </c>
      <c r="I275" s="334">
        <v>4</v>
      </c>
      <c r="J275" s="338">
        <v>45608</v>
      </c>
      <c r="K275" s="240"/>
      <c r="L275" s="400">
        <v>3.9300000000000002E-2</v>
      </c>
      <c r="M275" s="400">
        <v>4.6699999999999998E-2</v>
      </c>
      <c r="N275" s="405">
        <v>7.4000000000000003E-3</v>
      </c>
      <c r="O275" s="371">
        <f t="shared" si="175"/>
        <v>0</v>
      </c>
      <c r="P275" s="370">
        <v>1</v>
      </c>
      <c r="Q275" s="370">
        <f t="shared" si="174"/>
        <v>3.9300000000000002E-2</v>
      </c>
      <c r="R275" s="24">
        <v>742500</v>
      </c>
      <c r="S275" s="24">
        <v>742500</v>
      </c>
      <c r="T275" s="382">
        <v>355000</v>
      </c>
      <c r="U275" s="382">
        <f t="shared" si="160"/>
        <v>349505.5</v>
      </c>
      <c r="V275" s="6" t="s">
        <v>117</v>
      </c>
      <c r="W275" s="22" t="s">
        <v>78</v>
      </c>
      <c r="X275" s="27">
        <v>0.36</v>
      </c>
      <c r="Y275" s="27" t="s">
        <v>118</v>
      </c>
      <c r="Z275" s="27"/>
      <c r="AA275" s="16"/>
      <c r="AB275" s="393">
        <f t="shared" si="161"/>
        <v>34674.75</v>
      </c>
      <c r="AC275" s="17"/>
      <c r="AD275" s="15">
        <f t="shared" si="162"/>
        <v>267.3</v>
      </c>
      <c r="AE275" s="10"/>
    </row>
    <row r="276" spans="1:31" s="38" customFormat="1" ht="15.75" customHeight="1">
      <c r="A276" s="6" t="s">
        <v>113</v>
      </c>
      <c r="B276" s="10" t="str">
        <f>VLOOKUP(A276,[1]Sheet1!$A:$B,2,0)</f>
        <v>MODI</v>
      </c>
      <c r="C276" s="32" t="s">
        <v>116</v>
      </c>
      <c r="D276" s="31">
        <v>130040670023906</v>
      </c>
      <c r="E276" s="6" t="s">
        <v>74</v>
      </c>
      <c r="F276" s="10" t="s">
        <v>75</v>
      </c>
      <c r="G276" s="39" t="s">
        <v>76</v>
      </c>
      <c r="H276" s="40">
        <v>2024</v>
      </c>
      <c r="I276" s="334">
        <v>5</v>
      </c>
      <c r="J276" s="338">
        <v>45608</v>
      </c>
      <c r="K276" s="240"/>
      <c r="L276" s="400">
        <v>3.9300000000000002E-2</v>
      </c>
      <c r="M276" s="400">
        <v>4.6699999999999998E-2</v>
      </c>
      <c r="N276" s="405">
        <v>7.4000000000000003E-3</v>
      </c>
      <c r="O276" s="371">
        <f t="shared" si="175"/>
        <v>0</v>
      </c>
      <c r="P276" s="370">
        <v>1</v>
      </c>
      <c r="Q276" s="370">
        <f t="shared" si="174"/>
        <v>3.9300000000000002E-2</v>
      </c>
      <c r="R276" s="24">
        <v>847690</v>
      </c>
      <c r="S276" s="15">
        <v>1590190</v>
      </c>
      <c r="T276" s="382">
        <v>355000</v>
      </c>
      <c r="U276" s="382">
        <f t="shared" si="160"/>
        <v>343232.59399999998</v>
      </c>
      <c r="V276" s="6" t="s">
        <v>117</v>
      </c>
      <c r="W276" s="22" t="s">
        <v>78</v>
      </c>
      <c r="X276" s="27">
        <v>0.36</v>
      </c>
      <c r="Y276" s="27" t="s">
        <v>118</v>
      </c>
      <c r="Z276" s="27"/>
      <c r="AA276" s="16"/>
      <c r="AB276" s="393">
        <f t="shared" si="161"/>
        <v>39587.123</v>
      </c>
      <c r="AC276" s="17"/>
      <c r="AD276" s="15">
        <f t="shared" si="162"/>
        <v>305.16839999999996</v>
      </c>
      <c r="AE276" s="10"/>
    </row>
    <row r="277" spans="1:31" s="38" customFormat="1" ht="15.75" customHeight="1">
      <c r="A277" s="6" t="s">
        <v>113</v>
      </c>
      <c r="B277" s="10" t="str">
        <f>VLOOKUP(A277,[1]Sheet1!$A:$B,2,0)</f>
        <v>MODI</v>
      </c>
      <c r="C277" s="32" t="s">
        <v>116</v>
      </c>
      <c r="D277" s="31">
        <v>130040670023906</v>
      </c>
      <c r="E277" s="6" t="s">
        <v>74</v>
      </c>
      <c r="F277" s="10" t="s">
        <v>75</v>
      </c>
      <c r="G277" s="39" t="s">
        <v>76</v>
      </c>
      <c r="H277" s="40">
        <v>2024</v>
      </c>
      <c r="I277" s="334">
        <v>6</v>
      </c>
      <c r="J277" s="338">
        <v>45608</v>
      </c>
      <c r="K277" s="240"/>
      <c r="L277" s="400">
        <v>3.9300000000000002E-2</v>
      </c>
      <c r="M277" s="400">
        <v>4.6699999999999998E-2</v>
      </c>
      <c r="N277" s="405">
        <v>7.4000000000000003E-3</v>
      </c>
      <c r="O277" s="371">
        <f t="shared" si="175"/>
        <v>0</v>
      </c>
      <c r="P277" s="370">
        <v>1</v>
      </c>
      <c r="Q277" s="370">
        <f t="shared" si="174"/>
        <v>3.9300000000000002E-2</v>
      </c>
      <c r="R277" s="24">
        <v>1011000</v>
      </c>
      <c r="S277" s="15">
        <v>2601190</v>
      </c>
      <c r="T277" s="382">
        <v>355000</v>
      </c>
      <c r="U277" s="382">
        <f t="shared" si="160"/>
        <v>335751.19400000002</v>
      </c>
      <c r="V277" s="6" t="s">
        <v>117</v>
      </c>
      <c r="W277" s="22" t="s">
        <v>78</v>
      </c>
      <c r="X277" s="27">
        <v>0.36</v>
      </c>
      <c r="Y277" s="27" t="s">
        <v>118</v>
      </c>
      <c r="Z277" s="27"/>
      <c r="AA277" s="16"/>
      <c r="AB277" s="393">
        <f t="shared" si="161"/>
        <v>47213.7</v>
      </c>
      <c r="AC277" s="17"/>
      <c r="AD277" s="15">
        <f t="shared" si="162"/>
        <v>363.96</v>
      </c>
      <c r="AE277" s="10"/>
    </row>
    <row r="278" spans="1:31" s="38" customFormat="1" ht="15.75" customHeight="1">
      <c r="A278" s="6" t="s">
        <v>113</v>
      </c>
      <c r="B278" s="10" t="str">
        <f>VLOOKUP(A278,[1]Sheet1!$A:$B,2,0)</f>
        <v>MODI</v>
      </c>
      <c r="C278" s="32" t="s">
        <v>116</v>
      </c>
      <c r="D278" s="31">
        <v>130040670023906</v>
      </c>
      <c r="E278" s="6" t="s">
        <v>74</v>
      </c>
      <c r="F278" s="10" t="s">
        <v>75</v>
      </c>
      <c r="G278" s="39" t="s">
        <v>76</v>
      </c>
      <c r="H278" s="40">
        <v>2024</v>
      </c>
      <c r="I278" s="334">
        <v>7</v>
      </c>
      <c r="J278" s="338">
        <v>45608</v>
      </c>
      <c r="K278" s="240"/>
      <c r="L278" s="400">
        <v>3.9300000000000002E-2</v>
      </c>
      <c r="M278" s="400">
        <v>4.6699999999999998E-2</v>
      </c>
      <c r="N278" s="405">
        <v>7.4000000000000003E-3</v>
      </c>
      <c r="O278" s="371">
        <f t="shared" si="175"/>
        <v>0</v>
      </c>
      <c r="P278" s="370">
        <v>1</v>
      </c>
      <c r="Q278" s="370">
        <f t="shared" si="174"/>
        <v>3.9300000000000002E-2</v>
      </c>
      <c r="R278" s="24">
        <v>580500</v>
      </c>
      <c r="S278" s="15">
        <v>3181690</v>
      </c>
      <c r="T278" s="382">
        <v>355000</v>
      </c>
      <c r="U278" s="382">
        <f t="shared" si="160"/>
        <v>331455.49400000001</v>
      </c>
      <c r="V278" s="6" t="s">
        <v>117</v>
      </c>
      <c r="W278" s="22" t="s">
        <v>78</v>
      </c>
      <c r="X278" s="27">
        <v>0.36</v>
      </c>
      <c r="Y278" s="27" t="s">
        <v>118</v>
      </c>
      <c r="Z278" s="27"/>
      <c r="AA278" s="16"/>
      <c r="AB278" s="393">
        <f t="shared" si="161"/>
        <v>27109.35</v>
      </c>
      <c r="AC278" s="17"/>
      <c r="AD278" s="15">
        <f t="shared" si="162"/>
        <v>208.98</v>
      </c>
      <c r="AE278" s="10"/>
    </row>
    <row r="279" spans="1:31" s="38" customFormat="1" ht="15.75" customHeight="1">
      <c r="A279" s="6" t="s">
        <v>113</v>
      </c>
      <c r="B279" s="10" t="str">
        <f>VLOOKUP(A279,[1]Sheet1!$A:$B,2,0)</f>
        <v>MODI</v>
      </c>
      <c r="C279" s="32" t="s">
        <v>116</v>
      </c>
      <c r="D279" s="31">
        <v>130040670023906</v>
      </c>
      <c r="E279" s="6" t="s">
        <v>74</v>
      </c>
      <c r="F279" s="10" t="s">
        <v>75</v>
      </c>
      <c r="G279" s="39" t="s">
        <v>76</v>
      </c>
      <c r="H279" s="40">
        <v>2024</v>
      </c>
      <c r="I279" s="334">
        <v>8</v>
      </c>
      <c r="J279" s="338">
        <v>45608</v>
      </c>
      <c r="K279" s="240"/>
      <c r="L279" s="400">
        <v>3.9300000000000002E-2</v>
      </c>
      <c r="M279" s="400">
        <v>4.6699999999999998E-2</v>
      </c>
      <c r="N279" s="405">
        <v>7.4000000000000003E-3</v>
      </c>
      <c r="O279" s="371">
        <f t="shared" si="175"/>
        <v>0</v>
      </c>
      <c r="P279" s="370">
        <v>1</v>
      </c>
      <c r="Q279" s="370">
        <f t="shared" si="174"/>
        <v>3.9300000000000002E-2</v>
      </c>
      <c r="R279" s="24">
        <v>1728000</v>
      </c>
      <c r="S279" s="15">
        <v>4909690</v>
      </c>
      <c r="T279" s="382">
        <v>355000</v>
      </c>
      <c r="U279" s="382">
        <f t="shared" si="160"/>
        <v>318668.29399999999</v>
      </c>
      <c r="V279" s="6" t="s">
        <v>117</v>
      </c>
      <c r="W279" s="22" t="s">
        <v>78</v>
      </c>
      <c r="X279" s="27">
        <v>0.36</v>
      </c>
      <c r="Y279" s="27" t="s">
        <v>118</v>
      </c>
      <c r="Z279" s="27"/>
      <c r="AA279" s="16"/>
      <c r="AB279" s="393">
        <f t="shared" si="161"/>
        <v>80697.599999999991</v>
      </c>
      <c r="AC279" s="17"/>
      <c r="AD279" s="15">
        <f t="shared" si="162"/>
        <v>622.08000000000004</v>
      </c>
      <c r="AE279" s="10"/>
    </row>
    <row r="280" spans="1:31" s="38" customFormat="1" ht="15.75" customHeight="1">
      <c r="A280" s="6" t="s">
        <v>113</v>
      </c>
      <c r="B280" s="10" t="str">
        <f>VLOOKUP(A280,[1]Sheet1!$A:$B,2,0)</f>
        <v>MODI</v>
      </c>
      <c r="C280" s="32" t="s">
        <v>119</v>
      </c>
      <c r="D280" s="31">
        <v>130040670039455</v>
      </c>
      <c r="E280" s="6" t="s">
        <v>74</v>
      </c>
      <c r="F280" s="10" t="s">
        <v>120</v>
      </c>
      <c r="G280" s="39" t="s">
        <v>76</v>
      </c>
      <c r="H280" s="40">
        <v>2024</v>
      </c>
      <c r="I280" s="334">
        <v>4</v>
      </c>
      <c r="J280" s="338">
        <v>45608</v>
      </c>
      <c r="K280" s="240"/>
      <c r="L280" s="400">
        <v>6.5299999999999997E-2</v>
      </c>
      <c r="M280" s="400">
        <v>7.5899999999999995E-2</v>
      </c>
      <c r="N280" s="405">
        <v>1.06E-2</v>
      </c>
      <c r="O280" s="371">
        <f t="shared" si="175"/>
        <v>0</v>
      </c>
      <c r="P280" s="370">
        <v>1</v>
      </c>
      <c r="Q280" s="370">
        <f t="shared" si="174"/>
        <v>6.5299999999999997E-2</v>
      </c>
      <c r="R280" s="24">
        <v>897000</v>
      </c>
      <c r="S280" s="24">
        <v>897000</v>
      </c>
      <c r="T280" s="382">
        <v>1020000</v>
      </c>
      <c r="U280" s="382">
        <f t="shared" si="160"/>
        <v>1010491.8</v>
      </c>
      <c r="V280" s="6" t="s">
        <v>115</v>
      </c>
      <c r="W280" s="22" t="s">
        <v>78</v>
      </c>
      <c r="X280" s="27">
        <v>1.33</v>
      </c>
      <c r="Y280" s="27" t="s">
        <v>93</v>
      </c>
      <c r="Z280" s="27"/>
      <c r="AA280" s="16"/>
      <c r="AB280" s="393">
        <f t="shared" si="161"/>
        <v>68082.3</v>
      </c>
      <c r="AC280" s="17"/>
      <c r="AD280" s="15">
        <f t="shared" si="162"/>
        <v>1193.01</v>
      </c>
      <c r="AE280" s="10"/>
    </row>
    <row r="281" spans="1:31" s="38" customFormat="1" ht="15.75" customHeight="1">
      <c r="A281" s="6" t="s">
        <v>113</v>
      </c>
      <c r="B281" s="10" t="str">
        <f>VLOOKUP(A281,[1]Sheet1!$A:$B,2,0)</f>
        <v>MODI</v>
      </c>
      <c r="C281" s="32" t="s">
        <v>119</v>
      </c>
      <c r="D281" s="31">
        <v>130040670039455</v>
      </c>
      <c r="E281" s="6" t="s">
        <v>74</v>
      </c>
      <c r="F281" s="10" t="s">
        <v>120</v>
      </c>
      <c r="G281" s="39" t="s">
        <v>76</v>
      </c>
      <c r="H281" s="40">
        <v>2024</v>
      </c>
      <c r="I281" s="334">
        <v>5</v>
      </c>
      <c r="J281" s="338">
        <v>45608</v>
      </c>
      <c r="K281" s="240"/>
      <c r="L281" s="400">
        <v>6.5299999999999997E-2</v>
      </c>
      <c r="M281" s="400">
        <v>7.5899999999999995E-2</v>
      </c>
      <c r="N281" s="405">
        <v>1.06E-2</v>
      </c>
      <c r="O281" s="371">
        <f t="shared" si="175"/>
        <v>0</v>
      </c>
      <c r="P281" s="370">
        <v>1</v>
      </c>
      <c r="Q281" s="370">
        <f t="shared" si="174"/>
        <v>6.5299999999999997E-2</v>
      </c>
      <c r="R281" s="24">
        <v>3645000</v>
      </c>
      <c r="S281" s="15">
        <f>R281+S280</f>
        <v>4542000</v>
      </c>
      <c r="T281" s="382">
        <v>1020000</v>
      </c>
      <c r="U281" s="382">
        <f t="shared" si="160"/>
        <v>971854.8</v>
      </c>
      <c r="V281" s="6" t="s">
        <v>115</v>
      </c>
      <c r="W281" s="22" t="s">
        <v>78</v>
      </c>
      <c r="X281" s="27">
        <v>1.33</v>
      </c>
      <c r="Y281" s="27" t="s">
        <v>93</v>
      </c>
      <c r="Z281" s="27"/>
      <c r="AA281" s="16"/>
      <c r="AB281" s="393">
        <f t="shared" si="161"/>
        <v>276655.5</v>
      </c>
      <c r="AC281" s="17"/>
      <c r="AD281" s="15">
        <f t="shared" si="162"/>
        <v>4847.8500000000004</v>
      </c>
      <c r="AE281" s="10"/>
    </row>
    <row r="282" spans="1:31" s="38" customFormat="1" ht="15.75" customHeight="1">
      <c r="A282" s="6" t="s">
        <v>113</v>
      </c>
      <c r="B282" s="10" t="str">
        <f>VLOOKUP(A282,[1]Sheet1!$A:$B,2,0)</f>
        <v>MODI</v>
      </c>
      <c r="C282" s="32" t="s">
        <v>119</v>
      </c>
      <c r="D282" s="31">
        <v>130040670039455</v>
      </c>
      <c r="E282" s="6" t="s">
        <v>74</v>
      </c>
      <c r="F282" s="10" t="s">
        <v>120</v>
      </c>
      <c r="G282" s="39" t="s">
        <v>76</v>
      </c>
      <c r="H282" s="40">
        <v>2024</v>
      </c>
      <c r="I282" s="334">
        <v>6</v>
      </c>
      <c r="J282" s="338">
        <v>45608</v>
      </c>
      <c r="K282" s="240"/>
      <c r="L282" s="400">
        <v>6.5299999999999997E-2</v>
      </c>
      <c r="M282" s="400">
        <v>7.5899999999999995E-2</v>
      </c>
      <c r="N282" s="405">
        <v>1.06E-2</v>
      </c>
      <c r="O282" s="371">
        <f t="shared" si="175"/>
        <v>0</v>
      </c>
      <c r="P282" s="370">
        <v>1</v>
      </c>
      <c r="Q282" s="370">
        <f t="shared" si="174"/>
        <v>6.5299999999999997E-2</v>
      </c>
      <c r="R282" s="24">
        <v>3606189</v>
      </c>
      <c r="S282" s="15">
        <f>R282+S281</f>
        <v>8148189</v>
      </c>
      <c r="T282" s="382">
        <v>1020000</v>
      </c>
      <c r="U282" s="382">
        <f t="shared" si="160"/>
        <v>933629.19660000002</v>
      </c>
      <c r="V282" s="6" t="s">
        <v>115</v>
      </c>
      <c r="W282" s="22" t="s">
        <v>78</v>
      </c>
      <c r="X282" s="27">
        <v>1.33</v>
      </c>
      <c r="Y282" s="27" t="s">
        <v>93</v>
      </c>
      <c r="Z282" s="27"/>
      <c r="AA282" s="16"/>
      <c r="AB282" s="393">
        <f t="shared" si="161"/>
        <v>273709.7451</v>
      </c>
      <c r="AC282" s="17"/>
      <c r="AD282" s="15">
        <f t="shared" si="162"/>
        <v>4796.2313700000004</v>
      </c>
      <c r="AE282" s="10"/>
    </row>
    <row r="283" spans="1:31" s="38" customFormat="1" ht="15.75" customHeight="1">
      <c r="A283" s="6" t="s">
        <v>113</v>
      </c>
      <c r="B283" s="10" t="str">
        <f>VLOOKUP(A283,[1]Sheet1!$A:$B,2,0)</f>
        <v>MODI</v>
      </c>
      <c r="C283" s="32" t="s">
        <v>119</v>
      </c>
      <c r="D283" s="31">
        <v>130040670039455</v>
      </c>
      <c r="E283" s="6" t="s">
        <v>74</v>
      </c>
      <c r="F283" s="10" t="s">
        <v>120</v>
      </c>
      <c r="G283" s="39" t="s">
        <v>76</v>
      </c>
      <c r="H283" s="40">
        <v>2024</v>
      </c>
      <c r="I283" s="334">
        <v>7</v>
      </c>
      <c r="J283" s="338">
        <v>45608</v>
      </c>
      <c r="K283" s="240"/>
      <c r="L283" s="400">
        <v>6.5299999999999997E-2</v>
      </c>
      <c r="M283" s="400">
        <v>7.5899999999999995E-2</v>
      </c>
      <c r="N283" s="405">
        <v>1.06E-2</v>
      </c>
      <c r="O283" s="371">
        <f t="shared" si="175"/>
        <v>0</v>
      </c>
      <c r="P283" s="370">
        <v>1</v>
      </c>
      <c r="Q283" s="370">
        <f t="shared" si="174"/>
        <v>6.5299999999999997E-2</v>
      </c>
      <c r="R283" s="24">
        <v>2457000</v>
      </c>
      <c r="S283" s="15">
        <f>R283+S282</f>
        <v>10605189</v>
      </c>
      <c r="T283" s="382">
        <v>1020000</v>
      </c>
      <c r="U283" s="382">
        <f t="shared" si="160"/>
        <v>907584.99659999995</v>
      </c>
      <c r="V283" s="6" t="s">
        <v>115</v>
      </c>
      <c r="W283" s="22" t="s">
        <v>78</v>
      </c>
      <c r="X283" s="27">
        <v>1.33</v>
      </c>
      <c r="Y283" s="27" t="s">
        <v>93</v>
      </c>
      <c r="Z283" s="27"/>
      <c r="AA283" s="16"/>
      <c r="AB283" s="393">
        <f t="shared" si="161"/>
        <v>186486.3</v>
      </c>
      <c r="AC283" s="17"/>
      <c r="AD283" s="15">
        <f t="shared" si="162"/>
        <v>3267.81</v>
      </c>
      <c r="AE283" s="10"/>
    </row>
    <row r="284" spans="1:31" s="38" customFormat="1" ht="15.75" customHeight="1">
      <c r="A284" s="6" t="s">
        <v>113</v>
      </c>
      <c r="B284" s="10" t="str">
        <f>VLOOKUP(A284,[1]Sheet1!$A:$B,2,0)</f>
        <v>MODI</v>
      </c>
      <c r="C284" s="32" t="s">
        <v>119</v>
      </c>
      <c r="D284" s="31">
        <v>130040670039455</v>
      </c>
      <c r="E284" s="6" t="s">
        <v>74</v>
      </c>
      <c r="F284" s="10" t="s">
        <v>120</v>
      </c>
      <c r="G284" s="39" t="s">
        <v>76</v>
      </c>
      <c r="H284" s="40">
        <v>2024</v>
      </c>
      <c r="I284" s="334">
        <v>8</v>
      </c>
      <c r="J284" s="338">
        <v>45608</v>
      </c>
      <c r="K284" s="240"/>
      <c r="L284" s="400">
        <v>6.5299999999999997E-2</v>
      </c>
      <c r="M284" s="400">
        <v>7.5899999999999995E-2</v>
      </c>
      <c r="N284" s="405">
        <v>1.06E-2</v>
      </c>
      <c r="O284" s="371">
        <f t="shared" si="175"/>
        <v>0</v>
      </c>
      <c r="P284" s="370">
        <v>1</v>
      </c>
      <c r="Q284" s="370">
        <f t="shared" si="174"/>
        <v>6.5299999999999997E-2</v>
      </c>
      <c r="R284" s="24">
        <v>3046883</v>
      </c>
      <c r="S284" s="15">
        <f>R284+S283</f>
        <v>13652072</v>
      </c>
      <c r="T284" s="382">
        <v>1020000</v>
      </c>
      <c r="U284" s="382">
        <f t="shared" si="160"/>
        <v>875288.0368</v>
      </c>
      <c r="V284" s="6" t="s">
        <v>115</v>
      </c>
      <c r="W284" s="22" t="s">
        <v>78</v>
      </c>
      <c r="X284" s="27">
        <v>1.33</v>
      </c>
      <c r="Y284" s="27" t="s">
        <v>93</v>
      </c>
      <c r="Z284" s="27"/>
      <c r="AA284" s="16"/>
      <c r="AB284" s="393">
        <f t="shared" si="161"/>
        <v>231258.4197</v>
      </c>
      <c r="AC284" s="17"/>
      <c r="AD284" s="15">
        <f t="shared" si="162"/>
        <v>4052.35439</v>
      </c>
      <c r="AE284" s="10"/>
    </row>
    <row r="285" spans="1:31" s="38" customFormat="1" ht="15.75" customHeight="1">
      <c r="A285" s="6" t="s">
        <v>113</v>
      </c>
      <c r="B285" s="10" t="str">
        <f>VLOOKUP(A285,[1]Sheet1!$A:$B,2,0)</f>
        <v>MODI</v>
      </c>
      <c r="C285" s="32" t="s">
        <v>121</v>
      </c>
      <c r="D285" s="31">
        <v>130040670039442</v>
      </c>
      <c r="E285" s="6" t="s">
        <v>74</v>
      </c>
      <c r="F285" s="10" t="s">
        <v>120</v>
      </c>
      <c r="G285" s="39" t="s">
        <v>76</v>
      </c>
      <c r="H285" s="40">
        <v>2024</v>
      </c>
      <c r="I285" s="334">
        <v>4</v>
      </c>
      <c r="J285" s="338">
        <v>45608</v>
      </c>
      <c r="K285" s="240"/>
      <c r="L285" s="400">
        <v>6.6699999999999995E-2</v>
      </c>
      <c r="M285" s="400">
        <v>7.7299999999999994E-2</v>
      </c>
      <c r="N285" s="405">
        <v>1.06E-2</v>
      </c>
      <c r="O285" s="371">
        <f t="shared" si="175"/>
        <v>0</v>
      </c>
      <c r="P285" s="370">
        <v>1</v>
      </c>
      <c r="Q285" s="370">
        <f t="shared" si="174"/>
        <v>6.6699999999999995E-2</v>
      </c>
      <c r="R285" s="24">
        <v>890000</v>
      </c>
      <c r="S285" s="43">
        <v>890000</v>
      </c>
      <c r="T285" s="382">
        <v>1020000</v>
      </c>
      <c r="U285" s="382">
        <f t="shared" si="160"/>
        <v>1010566</v>
      </c>
      <c r="V285" s="6" t="s">
        <v>115</v>
      </c>
      <c r="W285" s="22" t="s">
        <v>78</v>
      </c>
      <c r="X285" s="27">
        <v>1.39</v>
      </c>
      <c r="Y285" s="27" t="s">
        <v>93</v>
      </c>
      <c r="Z285" s="27"/>
      <c r="AA285" s="16"/>
      <c r="AB285" s="393">
        <f t="shared" si="161"/>
        <v>68797</v>
      </c>
      <c r="AC285" s="17"/>
      <c r="AD285" s="15">
        <f t="shared" si="162"/>
        <v>1237.0999999999999</v>
      </c>
      <c r="AE285" s="10"/>
    </row>
    <row r="286" spans="1:31" s="38" customFormat="1" ht="15.75" customHeight="1">
      <c r="A286" s="6" t="s">
        <v>113</v>
      </c>
      <c r="B286" s="10" t="str">
        <f>VLOOKUP(A286,[1]Sheet1!$A:$B,2,0)</f>
        <v>MODI</v>
      </c>
      <c r="C286" s="32" t="s">
        <v>121</v>
      </c>
      <c r="D286" s="31">
        <v>130040670039442</v>
      </c>
      <c r="E286" s="6" t="s">
        <v>74</v>
      </c>
      <c r="F286" s="10" t="s">
        <v>120</v>
      </c>
      <c r="G286" s="39" t="s">
        <v>76</v>
      </c>
      <c r="H286" s="40">
        <v>2024</v>
      </c>
      <c r="I286" s="334">
        <v>5</v>
      </c>
      <c r="J286" s="338">
        <v>45608</v>
      </c>
      <c r="K286" s="240"/>
      <c r="L286" s="400">
        <v>6.6699999999999995E-2</v>
      </c>
      <c r="M286" s="400">
        <v>7.7299999999999994E-2</v>
      </c>
      <c r="N286" s="405">
        <v>1.06E-2</v>
      </c>
      <c r="O286" s="371">
        <f t="shared" si="175"/>
        <v>0</v>
      </c>
      <c r="P286" s="370">
        <v>1</v>
      </c>
      <c r="Q286" s="370">
        <f t="shared" si="174"/>
        <v>6.6699999999999995E-2</v>
      </c>
      <c r="R286" s="24">
        <v>3633000</v>
      </c>
      <c r="S286" s="15">
        <v>4523000</v>
      </c>
      <c r="T286" s="382">
        <v>1020000</v>
      </c>
      <c r="U286" s="382">
        <f t="shared" si="160"/>
        <v>972056.2</v>
      </c>
      <c r="V286" s="6" t="s">
        <v>115</v>
      </c>
      <c r="W286" s="22" t="s">
        <v>78</v>
      </c>
      <c r="X286" s="27">
        <v>1.39</v>
      </c>
      <c r="Y286" s="27" t="s">
        <v>93</v>
      </c>
      <c r="Z286" s="27"/>
      <c r="AA286" s="16"/>
      <c r="AB286" s="393">
        <f t="shared" si="161"/>
        <v>280830.89999999997</v>
      </c>
      <c r="AC286" s="17"/>
      <c r="AD286" s="15">
        <f t="shared" si="162"/>
        <v>5049.87</v>
      </c>
      <c r="AE286" s="10"/>
    </row>
    <row r="287" spans="1:31" s="38" customFormat="1" ht="15.75" customHeight="1">
      <c r="A287" s="6" t="s">
        <v>113</v>
      </c>
      <c r="B287" s="10" t="str">
        <f>VLOOKUP(A287,[1]Sheet1!$A:$B,2,0)</f>
        <v>MODI</v>
      </c>
      <c r="C287" s="32" t="s">
        <v>121</v>
      </c>
      <c r="D287" s="31">
        <v>130040670039442</v>
      </c>
      <c r="E287" s="6" t="s">
        <v>74</v>
      </c>
      <c r="F287" s="10" t="s">
        <v>120</v>
      </c>
      <c r="G287" s="39" t="s">
        <v>76</v>
      </c>
      <c r="H287" s="40">
        <v>2024</v>
      </c>
      <c r="I287" s="334">
        <v>6</v>
      </c>
      <c r="J287" s="338">
        <v>45608</v>
      </c>
      <c r="K287" s="240"/>
      <c r="L287" s="400">
        <v>6.6699999999999995E-2</v>
      </c>
      <c r="M287" s="400">
        <v>7.7299999999999994E-2</v>
      </c>
      <c r="N287" s="405">
        <v>1.06E-2</v>
      </c>
      <c r="O287" s="371">
        <f t="shared" si="175"/>
        <v>0</v>
      </c>
      <c r="P287" s="370">
        <v>1</v>
      </c>
      <c r="Q287" s="370">
        <f t="shared" si="174"/>
        <v>6.6699999999999995E-2</v>
      </c>
      <c r="R287" s="24">
        <v>3629884</v>
      </c>
      <c r="S287" s="15">
        <v>8152884</v>
      </c>
      <c r="T287" s="382">
        <v>1020000</v>
      </c>
      <c r="U287" s="382">
        <f t="shared" si="160"/>
        <v>933579.42960000003</v>
      </c>
      <c r="V287" s="6" t="s">
        <v>115</v>
      </c>
      <c r="W287" s="22" t="s">
        <v>78</v>
      </c>
      <c r="X287" s="27">
        <v>1.39</v>
      </c>
      <c r="Y287" s="27" t="s">
        <v>93</v>
      </c>
      <c r="Z287" s="27"/>
      <c r="AA287" s="16"/>
      <c r="AB287" s="393">
        <f t="shared" si="161"/>
        <v>280590.03320000001</v>
      </c>
      <c r="AC287" s="17"/>
      <c r="AD287" s="15">
        <f t="shared" si="162"/>
        <v>5045.5387599999995</v>
      </c>
      <c r="AE287" s="10"/>
    </row>
    <row r="288" spans="1:31" s="38" customFormat="1" ht="15.75" customHeight="1">
      <c r="A288" s="6" t="s">
        <v>113</v>
      </c>
      <c r="B288" s="10" t="str">
        <f>VLOOKUP(A288,[1]Sheet1!$A:$B,2,0)</f>
        <v>MODI</v>
      </c>
      <c r="C288" s="32" t="s">
        <v>121</v>
      </c>
      <c r="D288" s="31">
        <v>130040670039442</v>
      </c>
      <c r="E288" s="6" t="s">
        <v>74</v>
      </c>
      <c r="F288" s="10" t="s">
        <v>120</v>
      </c>
      <c r="G288" s="39" t="s">
        <v>76</v>
      </c>
      <c r="H288" s="40">
        <v>2024</v>
      </c>
      <c r="I288" s="334">
        <v>7</v>
      </c>
      <c r="J288" s="338">
        <v>45608</v>
      </c>
      <c r="K288" s="240"/>
      <c r="L288" s="400">
        <v>6.6699999999999995E-2</v>
      </c>
      <c r="M288" s="400">
        <v>7.7299999999999994E-2</v>
      </c>
      <c r="N288" s="405">
        <v>1.06E-2</v>
      </c>
      <c r="O288" s="371">
        <f t="shared" si="175"/>
        <v>0</v>
      </c>
      <c r="P288" s="370">
        <v>1</v>
      </c>
      <c r="Q288" s="370">
        <f t="shared" si="174"/>
        <v>6.6699999999999995E-2</v>
      </c>
      <c r="R288" s="24">
        <v>2457000</v>
      </c>
      <c r="S288" s="15">
        <v>10609884</v>
      </c>
      <c r="T288" s="382">
        <v>1020000</v>
      </c>
      <c r="U288" s="382">
        <f t="shared" si="160"/>
        <v>907535.22959999996</v>
      </c>
      <c r="V288" s="6" t="s">
        <v>115</v>
      </c>
      <c r="W288" s="22" t="s">
        <v>78</v>
      </c>
      <c r="X288" s="27">
        <v>1.39</v>
      </c>
      <c r="Y288" s="27" t="s">
        <v>93</v>
      </c>
      <c r="Z288" s="27"/>
      <c r="AA288" s="16"/>
      <c r="AB288" s="393">
        <f t="shared" si="161"/>
        <v>189926.09999999998</v>
      </c>
      <c r="AC288" s="17"/>
      <c r="AD288" s="15">
        <f t="shared" si="162"/>
        <v>3415.2299999999996</v>
      </c>
      <c r="AE288" s="10"/>
    </row>
    <row r="289" spans="1:31" s="38" customFormat="1" ht="15.75" customHeight="1">
      <c r="A289" s="6" t="s">
        <v>113</v>
      </c>
      <c r="B289" s="10" t="str">
        <f>VLOOKUP(A289,[1]Sheet1!$A:$B,2,0)</f>
        <v>MODI</v>
      </c>
      <c r="C289" s="32" t="s">
        <v>121</v>
      </c>
      <c r="D289" s="31">
        <v>130040670039442</v>
      </c>
      <c r="E289" s="6" t="s">
        <v>74</v>
      </c>
      <c r="F289" s="10" t="s">
        <v>120</v>
      </c>
      <c r="G289" s="39" t="s">
        <v>76</v>
      </c>
      <c r="H289" s="40">
        <v>2024</v>
      </c>
      <c r="I289" s="334">
        <v>8</v>
      </c>
      <c r="J289" s="338">
        <v>45608</v>
      </c>
      <c r="K289" s="240"/>
      <c r="L289" s="400">
        <v>6.6699999999999995E-2</v>
      </c>
      <c r="M289" s="400">
        <v>7.7299999999999994E-2</v>
      </c>
      <c r="N289" s="405">
        <v>1.06E-2</v>
      </c>
      <c r="O289" s="371">
        <f t="shared" si="175"/>
        <v>0</v>
      </c>
      <c r="P289" s="370">
        <v>1</v>
      </c>
      <c r="Q289" s="370">
        <f t="shared" si="174"/>
        <v>6.6699999999999995E-2</v>
      </c>
      <c r="R289" s="24">
        <v>3063360</v>
      </c>
      <c r="S289" s="15">
        <v>13673244</v>
      </c>
      <c r="T289" s="382">
        <v>1020000</v>
      </c>
      <c r="U289" s="382">
        <f t="shared" si="160"/>
        <v>875063.61360000004</v>
      </c>
      <c r="V289" s="6" t="s">
        <v>115</v>
      </c>
      <c r="W289" s="22" t="s">
        <v>78</v>
      </c>
      <c r="X289" s="27">
        <v>1.39</v>
      </c>
      <c r="Y289" s="27" t="s">
        <v>93</v>
      </c>
      <c r="Z289" s="27"/>
      <c r="AA289" s="16"/>
      <c r="AB289" s="393">
        <f t="shared" si="161"/>
        <v>236797.72799999997</v>
      </c>
      <c r="AC289" s="17"/>
      <c r="AD289" s="15">
        <f t="shared" si="162"/>
        <v>4258.0703999999996</v>
      </c>
      <c r="AE289" s="10"/>
    </row>
    <row r="290" spans="1:31" s="38" customFormat="1" ht="15.75" customHeight="1">
      <c r="A290" s="6" t="s">
        <v>113</v>
      </c>
      <c r="B290" s="10" t="str">
        <f>VLOOKUP(A290,[1]Sheet1!$A:$B,2,0)</f>
        <v>MODI</v>
      </c>
      <c r="C290" s="32" t="s">
        <v>122</v>
      </c>
      <c r="D290" s="31">
        <v>130040670017669</v>
      </c>
      <c r="E290" s="6" t="s">
        <v>74</v>
      </c>
      <c r="F290" s="10" t="s">
        <v>123</v>
      </c>
      <c r="G290" s="39" t="s">
        <v>76</v>
      </c>
      <c r="H290" s="40">
        <v>2024</v>
      </c>
      <c r="I290" s="334">
        <v>4</v>
      </c>
      <c r="J290" s="338">
        <v>45608</v>
      </c>
      <c r="K290" s="240"/>
      <c r="L290" s="400">
        <v>6.1499999999999999E-2</v>
      </c>
      <c r="M290" s="400">
        <v>6.9400000000000003E-2</v>
      </c>
      <c r="N290" s="405">
        <v>7.9000000000000008E-3</v>
      </c>
      <c r="O290" s="371">
        <f t="shared" si="175"/>
        <v>0</v>
      </c>
      <c r="P290" s="370">
        <v>1</v>
      </c>
      <c r="Q290" s="370">
        <f t="shared" si="174"/>
        <v>6.1499999999999999E-2</v>
      </c>
      <c r="R290" s="24">
        <v>865645</v>
      </c>
      <c r="S290" s="24">
        <v>865645</v>
      </c>
      <c r="T290" s="382">
        <v>760000</v>
      </c>
      <c r="U290" s="382">
        <f t="shared" si="160"/>
        <v>753161.40449999995</v>
      </c>
      <c r="V290" s="6" t="s">
        <v>115</v>
      </c>
      <c r="W290" s="22" t="s">
        <v>78</v>
      </c>
      <c r="X290" s="27">
        <v>1.1000000000000001</v>
      </c>
      <c r="Y290" s="27" t="s">
        <v>93</v>
      </c>
      <c r="Z290" s="27"/>
      <c r="AA290" s="16"/>
      <c r="AB290" s="393">
        <f t="shared" si="161"/>
        <v>60075.763000000006</v>
      </c>
      <c r="AC290" s="17"/>
      <c r="AD290" s="15">
        <f t="shared" si="162"/>
        <v>952.20950000000016</v>
      </c>
      <c r="AE290" s="10"/>
    </row>
    <row r="291" spans="1:31" s="38" customFormat="1" ht="15.75" customHeight="1">
      <c r="A291" s="6" t="s">
        <v>113</v>
      </c>
      <c r="B291" s="10" t="str">
        <f>VLOOKUP(A291,[1]Sheet1!$A:$B,2,0)</f>
        <v>MODI</v>
      </c>
      <c r="C291" s="32" t="s">
        <v>122</v>
      </c>
      <c r="D291" s="31">
        <v>130040670017669</v>
      </c>
      <c r="E291" s="6" t="s">
        <v>74</v>
      </c>
      <c r="F291" s="10" t="s">
        <v>123</v>
      </c>
      <c r="G291" s="39" t="s">
        <v>76</v>
      </c>
      <c r="H291" s="40">
        <v>2024</v>
      </c>
      <c r="I291" s="334">
        <v>5</v>
      </c>
      <c r="J291" s="338">
        <v>45608</v>
      </c>
      <c r="K291" s="240"/>
      <c r="L291" s="400">
        <v>6.1499999999999999E-2</v>
      </c>
      <c r="M291" s="400">
        <v>6.9400000000000003E-2</v>
      </c>
      <c r="N291" s="405">
        <v>7.9000000000000008E-3</v>
      </c>
      <c r="O291" s="371">
        <f t="shared" si="175"/>
        <v>0</v>
      </c>
      <c r="P291" s="370">
        <v>1</v>
      </c>
      <c r="Q291" s="370">
        <f t="shared" si="174"/>
        <v>6.1499999999999999E-2</v>
      </c>
      <c r="R291" s="24">
        <v>4638338</v>
      </c>
      <c r="S291" s="15">
        <v>5503983</v>
      </c>
      <c r="T291" s="382">
        <v>760000</v>
      </c>
      <c r="U291" s="382">
        <f t="shared" si="160"/>
        <v>716518.53429999994</v>
      </c>
      <c r="V291" s="6" t="s">
        <v>115</v>
      </c>
      <c r="W291" s="22" t="s">
        <v>78</v>
      </c>
      <c r="X291" s="27">
        <v>1.1000000000000001</v>
      </c>
      <c r="Y291" s="27" t="s">
        <v>93</v>
      </c>
      <c r="Z291" s="27"/>
      <c r="AA291" s="16"/>
      <c r="AB291" s="393">
        <f t="shared" si="161"/>
        <v>321900.65720000002</v>
      </c>
      <c r="AC291" s="17"/>
      <c r="AD291" s="15">
        <f t="shared" si="162"/>
        <v>5102.171800000001</v>
      </c>
      <c r="AE291" s="10"/>
    </row>
    <row r="292" spans="1:31" s="38" customFormat="1" ht="15.75" customHeight="1">
      <c r="A292" s="6" t="s">
        <v>113</v>
      </c>
      <c r="B292" s="10" t="str">
        <f>VLOOKUP(A292,[1]Sheet1!$A:$B,2,0)</f>
        <v>MODI</v>
      </c>
      <c r="C292" s="32" t="s">
        <v>122</v>
      </c>
      <c r="D292" s="31">
        <v>130040670017669</v>
      </c>
      <c r="E292" s="6" t="s">
        <v>74</v>
      </c>
      <c r="F292" s="10" t="s">
        <v>123</v>
      </c>
      <c r="G292" s="39" t="s">
        <v>76</v>
      </c>
      <c r="H292" s="40">
        <v>2024</v>
      </c>
      <c r="I292" s="334">
        <v>6</v>
      </c>
      <c r="J292" s="338">
        <v>45608</v>
      </c>
      <c r="K292" s="240"/>
      <c r="L292" s="400">
        <v>6.1499999999999999E-2</v>
      </c>
      <c r="M292" s="400">
        <v>6.9400000000000003E-2</v>
      </c>
      <c r="N292" s="405">
        <v>7.9000000000000008E-3</v>
      </c>
      <c r="O292" s="371">
        <f t="shared" si="175"/>
        <v>0</v>
      </c>
      <c r="P292" s="370">
        <v>1</v>
      </c>
      <c r="Q292" s="370">
        <f t="shared" si="174"/>
        <v>6.1499999999999999E-2</v>
      </c>
      <c r="R292" s="24">
        <v>4780877</v>
      </c>
      <c r="S292" s="15">
        <v>10284860</v>
      </c>
      <c r="T292" s="382">
        <v>760000</v>
      </c>
      <c r="U292" s="382">
        <f t="shared" si="160"/>
        <v>678749.60600000003</v>
      </c>
      <c r="V292" s="6" t="s">
        <v>115</v>
      </c>
      <c r="W292" s="22" t="s">
        <v>78</v>
      </c>
      <c r="X292" s="27">
        <v>1.1000000000000001</v>
      </c>
      <c r="Y292" s="27" t="s">
        <v>93</v>
      </c>
      <c r="Z292" s="27"/>
      <c r="AA292" s="16"/>
      <c r="AB292" s="393">
        <f t="shared" si="161"/>
        <v>331792.86379999999</v>
      </c>
      <c r="AC292" s="17"/>
      <c r="AD292" s="15">
        <f t="shared" si="162"/>
        <v>5258.9647000000004</v>
      </c>
      <c r="AE292" s="10"/>
    </row>
    <row r="293" spans="1:31" s="38" customFormat="1" ht="15.75" customHeight="1">
      <c r="A293" s="6" t="s">
        <v>113</v>
      </c>
      <c r="B293" s="10" t="str">
        <f>VLOOKUP(A293,[1]Sheet1!$A:$B,2,0)</f>
        <v>MODI</v>
      </c>
      <c r="C293" s="32" t="s">
        <v>122</v>
      </c>
      <c r="D293" s="31">
        <v>130040670017669</v>
      </c>
      <c r="E293" s="6" t="s">
        <v>74</v>
      </c>
      <c r="F293" s="10" t="s">
        <v>123</v>
      </c>
      <c r="G293" s="39" t="s">
        <v>76</v>
      </c>
      <c r="H293" s="40">
        <v>2024</v>
      </c>
      <c r="I293" s="334">
        <v>7</v>
      </c>
      <c r="J293" s="338">
        <v>45608</v>
      </c>
      <c r="K293" s="240"/>
      <c r="L293" s="400">
        <v>6.1499999999999999E-2</v>
      </c>
      <c r="M293" s="400">
        <v>6.9400000000000003E-2</v>
      </c>
      <c r="N293" s="405">
        <v>7.9000000000000008E-3</v>
      </c>
      <c r="O293" s="371">
        <f t="shared" si="175"/>
        <v>0</v>
      </c>
      <c r="P293" s="370">
        <v>1</v>
      </c>
      <c r="Q293" s="370">
        <f t="shared" si="174"/>
        <v>6.1499999999999999E-2</v>
      </c>
      <c r="R293" s="24">
        <v>2650700</v>
      </c>
      <c r="S293" s="15">
        <v>12935560</v>
      </c>
      <c r="T293" s="382">
        <v>760000</v>
      </c>
      <c r="U293" s="382">
        <f t="shared" si="160"/>
        <v>657809.076</v>
      </c>
      <c r="V293" s="6" t="s">
        <v>115</v>
      </c>
      <c r="W293" s="22" t="s">
        <v>78</v>
      </c>
      <c r="X293" s="27">
        <v>1.1000000000000001</v>
      </c>
      <c r="Y293" s="27" t="s">
        <v>93</v>
      </c>
      <c r="Z293" s="27"/>
      <c r="AA293" s="16"/>
      <c r="AB293" s="393">
        <f t="shared" si="161"/>
        <v>183958.58000000002</v>
      </c>
      <c r="AC293" s="17"/>
      <c r="AD293" s="15">
        <f t="shared" si="162"/>
        <v>2915.7700000000004</v>
      </c>
      <c r="AE293" s="10"/>
    </row>
    <row r="294" spans="1:31" s="38" customFormat="1" ht="15.75" customHeight="1">
      <c r="A294" s="6" t="s">
        <v>113</v>
      </c>
      <c r="B294" s="10" t="str">
        <f>VLOOKUP(A294,[1]Sheet1!$A:$B,2,0)</f>
        <v>MODI</v>
      </c>
      <c r="C294" s="32" t="s">
        <v>122</v>
      </c>
      <c r="D294" s="31">
        <v>130040670017669</v>
      </c>
      <c r="E294" s="6" t="s">
        <v>74</v>
      </c>
      <c r="F294" s="10" t="s">
        <v>123</v>
      </c>
      <c r="G294" s="39" t="s">
        <v>76</v>
      </c>
      <c r="H294" s="40">
        <v>2024</v>
      </c>
      <c r="I294" s="334">
        <v>8</v>
      </c>
      <c r="J294" s="338">
        <v>45608</v>
      </c>
      <c r="K294" s="240"/>
      <c r="L294" s="400">
        <v>6.1499999999999999E-2</v>
      </c>
      <c r="M294" s="400">
        <v>6.9400000000000003E-2</v>
      </c>
      <c r="N294" s="405">
        <v>7.9000000000000008E-3</v>
      </c>
      <c r="O294" s="371">
        <f t="shared" si="175"/>
        <v>0</v>
      </c>
      <c r="P294" s="370">
        <v>1</v>
      </c>
      <c r="Q294" s="370">
        <f t="shared" si="174"/>
        <v>6.1499999999999999E-2</v>
      </c>
      <c r="R294" s="24">
        <v>3554552</v>
      </c>
      <c r="S294" s="15">
        <v>16490112</v>
      </c>
      <c r="T294" s="382">
        <v>760000</v>
      </c>
      <c r="U294" s="382">
        <f t="shared" ref="U294:U357" si="176">T294-N294*S294</f>
        <v>629728.1152</v>
      </c>
      <c r="V294" s="6" t="s">
        <v>115</v>
      </c>
      <c r="W294" s="22" t="s">
        <v>78</v>
      </c>
      <c r="X294" s="27">
        <v>1.1000000000000001</v>
      </c>
      <c r="Y294" s="27" t="s">
        <v>93</v>
      </c>
      <c r="Z294" s="27"/>
      <c r="AA294" s="16"/>
      <c r="AB294" s="393">
        <f t="shared" ref="AB294:AB357" si="177">M294*R294</f>
        <v>246685.9088</v>
      </c>
      <c r="AC294" s="17"/>
      <c r="AD294" s="15">
        <f t="shared" ref="AD294:AD357" si="178">R294*X294/1000</f>
        <v>3910.0072</v>
      </c>
      <c r="AE294" s="10"/>
    </row>
    <row r="295" spans="1:31" s="38" customFormat="1" ht="15.75" customHeight="1">
      <c r="A295" s="6" t="s">
        <v>124</v>
      </c>
      <c r="B295" s="10" t="str">
        <f>VLOOKUP(A295,[1]Sheet1!$A:$B,2,0)</f>
        <v>MODI</v>
      </c>
      <c r="C295" s="32" t="s">
        <v>100</v>
      </c>
      <c r="D295" s="31">
        <v>130040670021245</v>
      </c>
      <c r="E295" s="6" t="s">
        <v>74</v>
      </c>
      <c r="F295" s="10" t="s">
        <v>125</v>
      </c>
      <c r="G295" s="39" t="s">
        <v>76</v>
      </c>
      <c r="H295" s="40">
        <v>2024</v>
      </c>
      <c r="I295" s="334">
        <v>4</v>
      </c>
      <c r="J295" s="338">
        <v>45608</v>
      </c>
      <c r="K295" s="240"/>
      <c r="L295" s="400">
        <v>0.28100000000000003</v>
      </c>
      <c r="M295" s="400">
        <v>0.30070000000000002</v>
      </c>
      <c r="N295" s="405">
        <v>1.9699999999999999E-2</v>
      </c>
      <c r="O295" s="371">
        <f t="shared" si="175"/>
        <v>0</v>
      </c>
      <c r="P295" s="370">
        <v>1</v>
      </c>
      <c r="Q295" s="370">
        <f t="shared" si="174"/>
        <v>0.28100000000000003</v>
      </c>
      <c r="R295" s="24">
        <v>1126452</v>
      </c>
      <c r="S295" s="15">
        <v>1126452</v>
      </c>
      <c r="T295" s="382">
        <v>3150000</v>
      </c>
      <c r="U295" s="382">
        <f t="shared" si="176"/>
        <v>3127808.8955999999</v>
      </c>
      <c r="V295" s="6" t="s">
        <v>88</v>
      </c>
      <c r="W295" s="22" t="s">
        <v>78</v>
      </c>
      <c r="X295" s="27">
        <v>4.5</v>
      </c>
      <c r="Y295" s="27" t="s">
        <v>79</v>
      </c>
      <c r="Z295" s="27"/>
      <c r="AA295" s="16"/>
      <c r="AB295" s="393">
        <f t="shared" si="177"/>
        <v>338724.1164</v>
      </c>
      <c r="AC295" s="17"/>
      <c r="AD295" s="15">
        <f t="shared" si="178"/>
        <v>5069.0339999999997</v>
      </c>
      <c r="AE295" s="10"/>
    </row>
    <row r="296" spans="1:31" s="38" customFormat="1" ht="15.75" customHeight="1">
      <c r="A296" s="6" t="s">
        <v>124</v>
      </c>
      <c r="B296" s="10" t="str">
        <f>VLOOKUP(A296,[1]Sheet1!$A:$B,2,0)</f>
        <v>MODI</v>
      </c>
      <c r="C296" s="32" t="s">
        <v>100</v>
      </c>
      <c r="D296" s="31">
        <v>130040670021245</v>
      </c>
      <c r="E296" s="6" t="s">
        <v>74</v>
      </c>
      <c r="F296" s="10" t="s">
        <v>125</v>
      </c>
      <c r="G296" s="39" t="s">
        <v>76</v>
      </c>
      <c r="H296" s="40">
        <v>2024</v>
      </c>
      <c r="I296" s="334">
        <v>5</v>
      </c>
      <c r="J296" s="338">
        <v>45608</v>
      </c>
      <c r="K296" s="240"/>
      <c r="L296" s="400">
        <v>0.28100000000000003</v>
      </c>
      <c r="M296" s="400">
        <v>0.30070000000000002</v>
      </c>
      <c r="N296" s="405">
        <v>1.9699999999999999E-2</v>
      </c>
      <c r="O296" s="371">
        <f t="shared" si="175"/>
        <v>0</v>
      </c>
      <c r="P296" s="370">
        <v>1</v>
      </c>
      <c r="Q296" s="370">
        <f t="shared" si="174"/>
        <v>0.28100000000000003</v>
      </c>
      <c r="R296" s="24">
        <v>3324134</v>
      </c>
      <c r="S296" s="15">
        <v>4450586</v>
      </c>
      <c r="T296" s="382">
        <v>3150000</v>
      </c>
      <c r="U296" s="382">
        <f t="shared" si="176"/>
        <v>3062323.4558000001</v>
      </c>
      <c r="V296" s="6" t="s">
        <v>88</v>
      </c>
      <c r="W296" s="22" t="s">
        <v>78</v>
      </c>
      <c r="X296" s="27">
        <v>4.5</v>
      </c>
      <c r="Y296" s="27" t="s">
        <v>79</v>
      </c>
      <c r="Z296" s="27"/>
      <c r="AA296" s="16"/>
      <c r="AB296" s="393">
        <f t="shared" si="177"/>
        <v>999567.09380000003</v>
      </c>
      <c r="AC296" s="17"/>
      <c r="AD296" s="15">
        <f t="shared" si="178"/>
        <v>14958.602999999999</v>
      </c>
      <c r="AE296" s="10"/>
    </row>
    <row r="297" spans="1:31" s="38" customFormat="1" ht="15.75" customHeight="1">
      <c r="A297" s="6" t="s">
        <v>124</v>
      </c>
      <c r="B297" s="10" t="str">
        <f>VLOOKUP(A297,[1]Sheet1!$A:$B,2,0)</f>
        <v>MODI</v>
      </c>
      <c r="C297" s="32" t="s">
        <v>100</v>
      </c>
      <c r="D297" s="31">
        <v>130040670021245</v>
      </c>
      <c r="E297" s="6" t="s">
        <v>74</v>
      </c>
      <c r="F297" s="10" t="s">
        <v>125</v>
      </c>
      <c r="G297" s="39" t="s">
        <v>76</v>
      </c>
      <c r="H297" s="40">
        <v>2024</v>
      </c>
      <c r="I297" s="334">
        <v>6</v>
      </c>
      <c r="J297" s="338">
        <v>45608</v>
      </c>
      <c r="K297" s="240"/>
      <c r="L297" s="400">
        <v>0.28100000000000003</v>
      </c>
      <c r="M297" s="400">
        <v>0.30070000000000002</v>
      </c>
      <c r="N297" s="405">
        <v>1.9699999999999999E-2</v>
      </c>
      <c r="O297" s="371">
        <f t="shared" si="175"/>
        <v>0</v>
      </c>
      <c r="P297" s="370">
        <v>1</v>
      </c>
      <c r="Q297" s="370">
        <f t="shared" si="174"/>
        <v>0.28100000000000003</v>
      </c>
      <c r="R297" s="24">
        <v>2971291</v>
      </c>
      <c r="S297" s="15">
        <v>7421877</v>
      </c>
      <c r="T297" s="382">
        <v>3150000</v>
      </c>
      <c r="U297" s="382">
        <f t="shared" si="176"/>
        <v>3003789.0230999999</v>
      </c>
      <c r="V297" s="6" t="s">
        <v>88</v>
      </c>
      <c r="W297" s="22" t="s">
        <v>78</v>
      </c>
      <c r="X297" s="27">
        <v>4.5</v>
      </c>
      <c r="Y297" s="27" t="s">
        <v>79</v>
      </c>
      <c r="Z297" s="27"/>
      <c r="AA297" s="16"/>
      <c r="AB297" s="393">
        <f t="shared" si="177"/>
        <v>893467.20370000007</v>
      </c>
      <c r="AC297" s="17"/>
      <c r="AD297" s="15">
        <f t="shared" si="178"/>
        <v>13370.809499999999</v>
      </c>
      <c r="AE297" s="10"/>
    </row>
    <row r="298" spans="1:31" s="38" customFormat="1" ht="15.75" customHeight="1">
      <c r="A298" s="6" t="s">
        <v>124</v>
      </c>
      <c r="B298" s="10" t="str">
        <f>VLOOKUP(A298,[1]Sheet1!$A:$B,2,0)</f>
        <v>MODI</v>
      </c>
      <c r="C298" s="32" t="s">
        <v>100</v>
      </c>
      <c r="D298" s="31">
        <v>130040670021245</v>
      </c>
      <c r="E298" s="6" t="s">
        <v>74</v>
      </c>
      <c r="F298" s="10" t="s">
        <v>125</v>
      </c>
      <c r="G298" s="39" t="s">
        <v>76</v>
      </c>
      <c r="H298" s="40">
        <v>2024</v>
      </c>
      <c r="I298" s="334">
        <v>7</v>
      </c>
      <c r="J298" s="338">
        <v>45608</v>
      </c>
      <c r="K298" s="240"/>
      <c r="L298" s="400">
        <v>0.28100000000000003</v>
      </c>
      <c r="M298" s="400">
        <v>0.30070000000000002</v>
      </c>
      <c r="N298" s="405">
        <v>1.9699999999999999E-2</v>
      </c>
      <c r="O298" s="371">
        <f t="shared" si="175"/>
        <v>0</v>
      </c>
      <c r="P298" s="370">
        <v>1</v>
      </c>
      <c r="Q298" s="370">
        <f t="shared" si="174"/>
        <v>0.28100000000000003</v>
      </c>
      <c r="R298" s="24">
        <v>6279171</v>
      </c>
      <c r="S298" s="15">
        <v>13701048</v>
      </c>
      <c r="T298" s="382">
        <v>3150000</v>
      </c>
      <c r="U298" s="382">
        <f t="shared" si="176"/>
        <v>2880089.3544000001</v>
      </c>
      <c r="V298" s="6" t="s">
        <v>88</v>
      </c>
      <c r="W298" s="22" t="s">
        <v>78</v>
      </c>
      <c r="X298" s="27">
        <v>4.5</v>
      </c>
      <c r="Y298" s="27" t="s">
        <v>79</v>
      </c>
      <c r="Z298" s="27"/>
      <c r="AA298" s="16"/>
      <c r="AB298" s="393">
        <f t="shared" si="177"/>
        <v>1888146.7197000002</v>
      </c>
      <c r="AC298" s="17"/>
      <c r="AD298" s="15">
        <f t="shared" si="178"/>
        <v>28256.269499999999</v>
      </c>
      <c r="AE298" s="10"/>
    </row>
    <row r="299" spans="1:31" s="38" customFormat="1" ht="15.75" customHeight="1">
      <c r="A299" s="6" t="s">
        <v>124</v>
      </c>
      <c r="B299" s="10" t="str">
        <f>VLOOKUP(A299,[1]Sheet1!$A:$B,2,0)</f>
        <v>MODI</v>
      </c>
      <c r="C299" s="32" t="s">
        <v>100</v>
      </c>
      <c r="D299" s="31">
        <v>130040670021245</v>
      </c>
      <c r="E299" s="6" t="s">
        <v>74</v>
      </c>
      <c r="F299" s="10" t="s">
        <v>125</v>
      </c>
      <c r="G299" s="39" t="s">
        <v>76</v>
      </c>
      <c r="H299" s="40">
        <v>2024</v>
      </c>
      <c r="I299" s="334">
        <v>8</v>
      </c>
      <c r="J299" s="338">
        <v>45608</v>
      </c>
      <c r="K299" s="240"/>
      <c r="L299" s="400">
        <v>0.28100000000000003</v>
      </c>
      <c r="M299" s="400">
        <v>0.30070000000000002</v>
      </c>
      <c r="N299" s="405">
        <v>1.9699999999999999E-2</v>
      </c>
      <c r="O299" s="371">
        <f t="shared" si="175"/>
        <v>0</v>
      </c>
      <c r="P299" s="370">
        <v>1</v>
      </c>
      <c r="Q299" s="370">
        <f t="shared" si="174"/>
        <v>0.28100000000000003</v>
      </c>
      <c r="R299" s="24">
        <v>5938220</v>
      </c>
      <c r="S299" s="15">
        <v>19639268</v>
      </c>
      <c r="T299" s="382">
        <v>3150000</v>
      </c>
      <c r="U299" s="382">
        <f t="shared" si="176"/>
        <v>2763106.4204000002</v>
      </c>
      <c r="V299" s="6" t="s">
        <v>88</v>
      </c>
      <c r="W299" s="22" t="s">
        <v>78</v>
      </c>
      <c r="X299" s="27">
        <v>4.5</v>
      </c>
      <c r="Y299" s="27" t="s">
        <v>79</v>
      </c>
      <c r="Z299" s="27"/>
      <c r="AA299" s="16"/>
      <c r="AB299" s="393">
        <f t="shared" si="177"/>
        <v>1785622.7540000002</v>
      </c>
      <c r="AC299" s="17"/>
      <c r="AD299" s="15">
        <f t="shared" si="178"/>
        <v>26721.99</v>
      </c>
      <c r="AE299" s="10"/>
    </row>
    <row r="300" spans="1:31" s="38" customFormat="1" ht="15.75" customHeight="1">
      <c r="A300" s="6" t="s">
        <v>124</v>
      </c>
      <c r="B300" s="10" t="str">
        <f>VLOOKUP(A300,[1]Sheet1!$A:$B,2,0)</f>
        <v>MODI</v>
      </c>
      <c r="C300" s="32" t="s">
        <v>104</v>
      </c>
      <c r="D300" s="31">
        <v>130040670021246</v>
      </c>
      <c r="E300" s="6" t="s">
        <v>74</v>
      </c>
      <c r="F300" s="10" t="s">
        <v>125</v>
      </c>
      <c r="G300" s="39" t="s">
        <v>76</v>
      </c>
      <c r="H300" s="40">
        <v>2024</v>
      </c>
      <c r="I300" s="334">
        <v>4</v>
      </c>
      <c r="J300" s="338">
        <v>45608</v>
      </c>
      <c r="K300" s="240"/>
      <c r="L300" s="400">
        <v>4.7E-2</v>
      </c>
      <c r="M300" s="400">
        <v>5.6399999999999999E-2</v>
      </c>
      <c r="N300" s="405">
        <v>9.4000000000000004E-3</v>
      </c>
      <c r="O300" s="371">
        <f t="shared" si="175"/>
        <v>0</v>
      </c>
      <c r="P300" s="370">
        <v>1</v>
      </c>
      <c r="Q300" s="370">
        <f t="shared" si="174"/>
        <v>4.7E-2</v>
      </c>
      <c r="R300" s="24">
        <v>708000</v>
      </c>
      <c r="S300" s="24">
        <v>708000</v>
      </c>
      <c r="T300" s="382">
        <v>1350000</v>
      </c>
      <c r="U300" s="382">
        <f t="shared" si="176"/>
        <v>1343344.8</v>
      </c>
      <c r="V300" s="6" t="s">
        <v>88</v>
      </c>
      <c r="W300" s="22" t="s">
        <v>78</v>
      </c>
      <c r="X300" s="27">
        <v>0.5</v>
      </c>
      <c r="Y300" s="27" t="s">
        <v>79</v>
      </c>
      <c r="Z300" s="27"/>
      <c r="AA300" s="16"/>
      <c r="AB300" s="393">
        <f t="shared" si="177"/>
        <v>39931.199999999997</v>
      </c>
      <c r="AC300" s="17"/>
      <c r="AD300" s="15">
        <f t="shared" si="178"/>
        <v>354</v>
      </c>
      <c r="AE300" s="10"/>
    </row>
    <row r="301" spans="1:31" s="38" customFormat="1" ht="15.75" customHeight="1">
      <c r="A301" s="6" t="s">
        <v>124</v>
      </c>
      <c r="B301" s="10" t="str">
        <f>VLOOKUP(A301,[1]Sheet1!$A:$B,2,0)</f>
        <v>MODI</v>
      </c>
      <c r="C301" s="32" t="s">
        <v>104</v>
      </c>
      <c r="D301" s="31">
        <v>130040670021246</v>
      </c>
      <c r="E301" s="6" t="s">
        <v>74</v>
      </c>
      <c r="F301" s="10" t="s">
        <v>125</v>
      </c>
      <c r="G301" s="39" t="s">
        <v>76</v>
      </c>
      <c r="H301" s="40">
        <v>2024</v>
      </c>
      <c r="I301" s="334">
        <v>5</v>
      </c>
      <c r="J301" s="338">
        <v>45608</v>
      </c>
      <c r="K301" s="240"/>
      <c r="L301" s="400">
        <v>4.7E-2</v>
      </c>
      <c r="M301" s="400">
        <v>5.6399999999999999E-2</v>
      </c>
      <c r="N301" s="405">
        <v>9.4000000000000004E-3</v>
      </c>
      <c r="O301" s="371">
        <f t="shared" si="175"/>
        <v>0</v>
      </c>
      <c r="P301" s="370">
        <v>1</v>
      </c>
      <c r="Q301" s="370">
        <f t="shared" si="174"/>
        <v>4.7E-2</v>
      </c>
      <c r="R301" s="24">
        <v>2345387</v>
      </c>
      <c r="S301" s="15">
        <v>3053387</v>
      </c>
      <c r="T301" s="382">
        <v>1350000</v>
      </c>
      <c r="U301" s="382">
        <f t="shared" si="176"/>
        <v>1321298.1621999999</v>
      </c>
      <c r="V301" s="6" t="s">
        <v>88</v>
      </c>
      <c r="W301" s="22" t="s">
        <v>78</v>
      </c>
      <c r="X301" s="27">
        <v>0.5</v>
      </c>
      <c r="Y301" s="27" t="s">
        <v>79</v>
      </c>
      <c r="Z301" s="27"/>
      <c r="AA301" s="16"/>
      <c r="AB301" s="393">
        <f t="shared" si="177"/>
        <v>132279.82680000001</v>
      </c>
      <c r="AC301" s="17"/>
      <c r="AD301" s="15">
        <f t="shared" si="178"/>
        <v>1172.6935000000001</v>
      </c>
      <c r="AE301" s="10"/>
    </row>
    <row r="302" spans="1:31" s="38" customFormat="1" ht="15.75" customHeight="1">
      <c r="A302" s="6" t="s">
        <v>124</v>
      </c>
      <c r="B302" s="10" t="str">
        <f>VLOOKUP(A302,[1]Sheet1!$A:$B,2,0)</f>
        <v>MODI</v>
      </c>
      <c r="C302" s="32" t="s">
        <v>104</v>
      </c>
      <c r="D302" s="31">
        <v>130040670021246</v>
      </c>
      <c r="E302" s="6" t="s">
        <v>74</v>
      </c>
      <c r="F302" s="10" t="s">
        <v>125</v>
      </c>
      <c r="G302" s="39" t="s">
        <v>76</v>
      </c>
      <c r="H302" s="40">
        <v>2024</v>
      </c>
      <c r="I302" s="334">
        <v>6</v>
      </c>
      <c r="J302" s="338">
        <v>45608</v>
      </c>
      <c r="K302" s="240"/>
      <c r="L302" s="400">
        <v>4.7E-2</v>
      </c>
      <c r="M302" s="400">
        <v>5.6399999999999999E-2</v>
      </c>
      <c r="N302" s="405">
        <v>9.4000000000000004E-3</v>
      </c>
      <c r="O302" s="371">
        <f t="shared" si="175"/>
        <v>0</v>
      </c>
      <c r="P302" s="370">
        <v>1</v>
      </c>
      <c r="Q302" s="370">
        <f t="shared" si="174"/>
        <v>4.7E-2</v>
      </c>
      <c r="R302" s="24">
        <v>3348000</v>
      </c>
      <c r="S302" s="15">
        <v>6401387</v>
      </c>
      <c r="T302" s="382">
        <v>1350000</v>
      </c>
      <c r="U302" s="382">
        <f t="shared" si="176"/>
        <v>1289826.9622</v>
      </c>
      <c r="V302" s="6" t="s">
        <v>88</v>
      </c>
      <c r="W302" s="22" t="s">
        <v>78</v>
      </c>
      <c r="X302" s="27">
        <v>0.5</v>
      </c>
      <c r="Y302" s="27" t="s">
        <v>79</v>
      </c>
      <c r="Z302" s="27"/>
      <c r="AA302" s="16"/>
      <c r="AB302" s="393">
        <f t="shared" si="177"/>
        <v>188827.19999999998</v>
      </c>
      <c r="AC302" s="17"/>
      <c r="AD302" s="15">
        <f t="shared" si="178"/>
        <v>1674</v>
      </c>
      <c r="AE302" s="10"/>
    </row>
    <row r="303" spans="1:31" s="38" customFormat="1" ht="15.75" customHeight="1">
      <c r="A303" s="6" t="s">
        <v>124</v>
      </c>
      <c r="B303" s="10" t="str">
        <f>VLOOKUP(A303,[1]Sheet1!$A:$B,2,0)</f>
        <v>MODI</v>
      </c>
      <c r="C303" s="32" t="s">
        <v>104</v>
      </c>
      <c r="D303" s="31">
        <v>130040670021246</v>
      </c>
      <c r="E303" s="6" t="s">
        <v>74</v>
      </c>
      <c r="F303" s="10" t="s">
        <v>125</v>
      </c>
      <c r="G303" s="39" t="s">
        <v>76</v>
      </c>
      <c r="H303" s="40">
        <v>2024</v>
      </c>
      <c r="I303" s="334">
        <v>7</v>
      </c>
      <c r="J303" s="338">
        <v>45608</v>
      </c>
      <c r="K303" s="240"/>
      <c r="L303" s="400">
        <v>4.7E-2</v>
      </c>
      <c r="M303" s="400">
        <v>5.6399999999999999E-2</v>
      </c>
      <c r="N303" s="405">
        <v>9.4000000000000004E-3</v>
      </c>
      <c r="O303" s="371">
        <f t="shared" si="175"/>
        <v>0</v>
      </c>
      <c r="P303" s="370">
        <v>1</v>
      </c>
      <c r="Q303" s="370">
        <f t="shared" si="174"/>
        <v>4.7E-2</v>
      </c>
      <c r="R303" s="24">
        <v>5832000</v>
      </c>
      <c r="S303" s="15">
        <v>12233387</v>
      </c>
      <c r="T303" s="382">
        <v>1350000</v>
      </c>
      <c r="U303" s="382">
        <f t="shared" si="176"/>
        <v>1235006.1621999999</v>
      </c>
      <c r="V303" s="6" t="s">
        <v>88</v>
      </c>
      <c r="W303" s="22" t="s">
        <v>78</v>
      </c>
      <c r="X303" s="27">
        <v>0.5</v>
      </c>
      <c r="Y303" s="27" t="s">
        <v>79</v>
      </c>
      <c r="Z303" s="27"/>
      <c r="AA303" s="16"/>
      <c r="AB303" s="393">
        <f t="shared" si="177"/>
        <v>328924.79999999999</v>
      </c>
      <c r="AC303" s="17"/>
      <c r="AD303" s="15">
        <f t="shared" si="178"/>
        <v>2916</v>
      </c>
      <c r="AE303" s="10"/>
    </row>
    <row r="304" spans="1:31" s="38" customFormat="1" ht="15.75" customHeight="1">
      <c r="A304" s="6" t="s">
        <v>124</v>
      </c>
      <c r="B304" s="10" t="str">
        <f>VLOOKUP(A304,[1]Sheet1!$A:$B,2,0)</f>
        <v>MODI</v>
      </c>
      <c r="C304" s="32" t="s">
        <v>104</v>
      </c>
      <c r="D304" s="31">
        <v>130040670021246</v>
      </c>
      <c r="E304" s="6" t="s">
        <v>74</v>
      </c>
      <c r="F304" s="10" t="s">
        <v>125</v>
      </c>
      <c r="G304" s="39" t="s">
        <v>76</v>
      </c>
      <c r="H304" s="40">
        <v>2024</v>
      </c>
      <c r="I304" s="334">
        <v>8</v>
      </c>
      <c r="J304" s="338">
        <v>45608</v>
      </c>
      <c r="K304" s="240"/>
      <c r="L304" s="400">
        <v>4.7E-2</v>
      </c>
      <c r="M304" s="400">
        <v>5.6399999999999999E-2</v>
      </c>
      <c r="N304" s="405">
        <v>9.4000000000000004E-3</v>
      </c>
      <c r="O304" s="371">
        <f t="shared" si="175"/>
        <v>0</v>
      </c>
      <c r="P304" s="370">
        <v>1</v>
      </c>
      <c r="Q304" s="370">
        <f t="shared" si="174"/>
        <v>4.7E-2</v>
      </c>
      <c r="R304" s="24">
        <v>5940000</v>
      </c>
      <c r="S304" s="15">
        <v>18173387</v>
      </c>
      <c r="T304" s="382">
        <v>1350000</v>
      </c>
      <c r="U304" s="382">
        <f t="shared" si="176"/>
        <v>1179170.1621999999</v>
      </c>
      <c r="V304" s="6" t="s">
        <v>88</v>
      </c>
      <c r="W304" s="22" t="s">
        <v>78</v>
      </c>
      <c r="X304" s="27">
        <v>0.5</v>
      </c>
      <c r="Y304" s="27" t="s">
        <v>79</v>
      </c>
      <c r="Z304" s="27"/>
      <c r="AA304" s="16"/>
      <c r="AB304" s="393">
        <f t="shared" si="177"/>
        <v>335016</v>
      </c>
      <c r="AC304" s="17"/>
      <c r="AD304" s="15">
        <f t="shared" si="178"/>
        <v>2970</v>
      </c>
      <c r="AE304" s="10"/>
    </row>
    <row r="305" spans="1:31" s="38" customFormat="1" ht="15.75" customHeight="1">
      <c r="A305" s="6" t="s">
        <v>124</v>
      </c>
      <c r="B305" s="10" t="str">
        <f>VLOOKUP(A305,[1]Sheet1!$A:$B,2,0)</f>
        <v>MODI</v>
      </c>
      <c r="C305" s="32" t="s">
        <v>108</v>
      </c>
      <c r="D305" s="31">
        <v>130040670026558</v>
      </c>
      <c r="E305" s="6" t="s">
        <v>74</v>
      </c>
      <c r="F305" s="10" t="s">
        <v>125</v>
      </c>
      <c r="G305" s="39" t="s">
        <v>76</v>
      </c>
      <c r="H305" s="40">
        <v>2024</v>
      </c>
      <c r="I305" s="334">
        <v>4</v>
      </c>
      <c r="J305" s="338">
        <v>45608</v>
      </c>
      <c r="K305" s="240"/>
      <c r="L305" s="400">
        <v>0.06</v>
      </c>
      <c r="M305" s="400">
        <v>7.0599999999999996E-2</v>
      </c>
      <c r="N305" s="405">
        <v>1.06E-2</v>
      </c>
      <c r="O305" s="371">
        <f t="shared" si="175"/>
        <v>0</v>
      </c>
      <c r="P305" s="370">
        <v>1</v>
      </c>
      <c r="Q305" s="370">
        <f t="shared" si="174"/>
        <v>0.06</v>
      </c>
      <c r="R305" s="24">
        <v>450000</v>
      </c>
      <c r="S305" s="15">
        <v>450000</v>
      </c>
      <c r="T305" s="382">
        <v>1530000</v>
      </c>
      <c r="U305" s="382">
        <f t="shared" si="176"/>
        <v>1525230</v>
      </c>
      <c r="V305" s="6" t="s">
        <v>88</v>
      </c>
      <c r="W305" s="22" t="s">
        <v>78</v>
      </c>
      <c r="X305" s="27">
        <v>0.9</v>
      </c>
      <c r="Y305" s="27" t="s">
        <v>79</v>
      </c>
      <c r="Z305" s="27"/>
      <c r="AA305" s="16"/>
      <c r="AB305" s="393">
        <f t="shared" si="177"/>
        <v>31770</v>
      </c>
      <c r="AC305" s="17"/>
      <c r="AD305" s="15">
        <f t="shared" si="178"/>
        <v>405</v>
      </c>
      <c r="AE305" s="10"/>
    </row>
    <row r="306" spans="1:31" s="38" customFormat="1" ht="15.75" customHeight="1">
      <c r="A306" s="6" t="s">
        <v>124</v>
      </c>
      <c r="B306" s="10" t="str">
        <f>VLOOKUP(A306,[1]Sheet1!$A:$B,2,0)</f>
        <v>MODI</v>
      </c>
      <c r="C306" s="32" t="s">
        <v>108</v>
      </c>
      <c r="D306" s="31">
        <v>130040670026558</v>
      </c>
      <c r="E306" s="6" t="s">
        <v>74</v>
      </c>
      <c r="F306" s="10" t="s">
        <v>125</v>
      </c>
      <c r="G306" s="39" t="s">
        <v>76</v>
      </c>
      <c r="H306" s="40">
        <v>2024</v>
      </c>
      <c r="I306" s="334">
        <v>5</v>
      </c>
      <c r="J306" s="338">
        <v>45608</v>
      </c>
      <c r="K306" s="240"/>
      <c r="L306" s="400">
        <v>0.06</v>
      </c>
      <c r="M306" s="400">
        <v>7.0599999999999996E-2</v>
      </c>
      <c r="N306" s="405">
        <v>1.06E-2</v>
      </c>
      <c r="O306" s="371">
        <f t="shared" si="175"/>
        <v>0</v>
      </c>
      <c r="P306" s="370">
        <v>1</v>
      </c>
      <c r="Q306" s="370">
        <f t="shared" si="174"/>
        <v>0.06</v>
      </c>
      <c r="R306" s="24">
        <v>3116431</v>
      </c>
      <c r="S306" s="15">
        <v>3566431</v>
      </c>
      <c r="T306" s="382">
        <v>1530000</v>
      </c>
      <c r="U306" s="382">
        <f t="shared" si="176"/>
        <v>1492195.8314</v>
      </c>
      <c r="V306" s="6" t="s">
        <v>88</v>
      </c>
      <c r="W306" s="22" t="s">
        <v>78</v>
      </c>
      <c r="X306" s="27">
        <v>0.9</v>
      </c>
      <c r="Y306" s="27" t="s">
        <v>79</v>
      </c>
      <c r="Z306" s="27"/>
      <c r="AA306" s="16"/>
      <c r="AB306" s="393">
        <f t="shared" si="177"/>
        <v>220020.02859999999</v>
      </c>
      <c r="AC306" s="17"/>
      <c r="AD306" s="15">
        <f t="shared" si="178"/>
        <v>2804.7878999999998</v>
      </c>
      <c r="AE306" s="10"/>
    </row>
    <row r="307" spans="1:31" s="38" customFormat="1" ht="15.75" customHeight="1">
      <c r="A307" s="6" t="s">
        <v>124</v>
      </c>
      <c r="B307" s="10" t="str">
        <f>VLOOKUP(A307,[1]Sheet1!$A:$B,2,0)</f>
        <v>MODI</v>
      </c>
      <c r="C307" s="32" t="s">
        <v>108</v>
      </c>
      <c r="D307" s="31">
        <v>130040670026558</v>
      </c>
      <c r="E307" s="6" t="s">
        <v>74</v>
      </c>
      <c r="F307" s="10" t="s">
        <v>125</v>
      </c>
      <c r="G307" s="39" t="s">
        <v>76</v>
      </c>
      <c r="H307" s="40">
        <v>2024</v>
      </c>
      <c r="I307" s="334">
        <v>6</v>
      </c>
      <c r="J307" s="338">
        <v>45608</v>
      </c>
      <c r="K307" s="240"/>
      <c r="L307" s="400">
        <v>0.06</v>
      </c>
      <c r="M307" s="400">
        <v>7.0599999999999996E-2</v>
      </c>
      <c r="N307" s="405">
        <v>1.06E-2</v>
      </c>
      <c r="O307" s="371">
        <f t="shared" si="175"/>
        <v>0</v>
      </c>
      <c r="P307" s="370">
        <v>1</v>
      </c>
      <c r="Q307" s="370">
        <f t="shared" si="174"/>
        <v>0.06</v>
      </c>
      <c r="R307" s="24">
        <v>2787000</v>
      </c>
      <c r="S307" s="15">
        <v>6353431</v>
      </c>
      <c r="T307" s="382">
        <v>1530000</v>
      </c>
      <c r="U307" s="382">
        <f t="shared" si="176"/>
        <v>1462653.6314000001</v>
      </c>
      <c r="V307" s="6" t="s">
        <v>88</v>
      </c>
      <c r="W307" s="22" t="s">
        <v>78</v>
      </c>
      <c r="X307" s="27">
        <v>0.9</v>
      </c>
      <c r="Y307" s="27" t="s">
        <v>79</v>
      </c>
      <c r="Z307" s="27"/>
      <c r="AA307" s="16"/>
      <c r="AB307" s="393">
        <f t="shared" si="177"/>
        <v>196762.19999999998</v>
      </c>
      <c r="AC307" s="17"/>
      <c r="AD307" s="15">
        <f t="shared" si="178"/>
        <v>2508.3000000000002</v>
      </c>
      <c r="AE307" s="10"/>
    </row>
    <row r="308" spans="1:31" s="38" customFormat="1" ht="15.75" customHeight="1">
      <c r="A308" s="6" t="s">
        <v>124</v>
      </c>
      <c r="B308" s="10" t="str">
        <f>VLOOKUP(A308,[1]Sheet1!$A:$B,2,0)</f>
        <v>MODI</v>
      </c>
      <c r="C308" s="32" t="s">
        <v>108</v>
      </c>
      <c r="D308" s="31">
        <v>130040670026558</v>
      </c>
      <c r="E308" s="6" t="s">
        <v>74</v>
      </c>
      <c r="F308" s="10" t="s">
        <v>125</v>
      </c>
      <c r="G308" s="39" t="s">
        <v>76</v>
      </c>
      <c r="H308" s="40">
        <v>2024</v>
      </c>
      <c r="I308" s="334">
        <v>7</v>
      </c>
      <c r="J308" s="338">
        <v>45608</v>
      </c>
      <c r="K308" s="240"/>
      <c r="L308" s="400">
        <v>0.06</v>
      </c>
      <c r="M308" s="400">
        <v>7.0599999999999996E-2</v>
      </c>
      <c r="N308" s="405">
        <v>1.06E-2</v>
      </c>
      <c r="O308" s="371">
        <f t="shared" si="175"/>
        <v>0</v>
      </c>
      <c r="P308" s="370">
        <v>1</v>
      </c>
      <c r="Q308" s="370">
        <f t="shared" si="174"/>
        <v>0.06</v>
      </c>
      <c r="R308" s="24">
        <v>6192000</v>
      </c>
      <c r="S308" s="15">
        <v>12545431</v>
      </c>
      <c r="T308" s="382">
        <v>1530000</v>
      </c>
      <c r="U308" s="382">
        <f t="shared" si="176"/>
        <v>1397018.4314000001</v>
      </c>
      <c r="V308" s="6" t="s">
        <v>88</v>
      </c>
      <c r="W308" s="22" t="s">
        <v>78</v>
      </c>
      <c r="X308" s="27">
        <v>0.9</v>
      </c>
      <c r="Y308" s="27" t="s">
        <v>79</v>
      </c>
      <c r="Z308" s="27"/>
      <c r="AA308" s="16"/>
      <c r="AB308" s="393">
        <f t="shared" si="177"/>
        <v>437155.19999999995</v>
      </c>
      <c r="AC308" s="17"/>
      <c r="AD308" s="15">
        <f t="shared" si="178"/>
        <v>5572.8</v>
      </c>
      <c r="AE308" s="10"/>
    </row>
    <row r="309" spans="1:31" s="38" customFormat="1" ht="15.75" customHeight="1">
      <c r="A309" s="6" t="s">
        <v>124</v>
      </c>
      <c r="B309" s="10" t="str">
        <f>VLOOKUP(A309,[1]Sheet1!$A:$B,2,0)</f>
        <v>MODI</v>
      </c>
      <c r="C309" s="32" t="s">
        <v>108</v>
      </c>
      <c r="D309" s="31">
        <v>130040670026558</v>
      </c>
      <c r="E309" s="6" t="s">
        <v>74</v>
      </c>
      <c r="F309" s="10" t="s">
        <v>125</v>
      </c>
      <c r="G309" s="39" t="s">
        <v>76</v>
      </c>
      <c r="H309" s="40">
        <v>2024</v>
      </c>
      <c r="I309" s="334">
        <v>8</v>
      </c>
      <c r="J309" s="338">
        <v>45608</v>
      </c>
      <c r="K309" s="240"/>
      <c r="L309" s="400">
        <v>0.06</v>
      </c>
      <c r="M309" s="400">
        <v>7.0599999999999996E-2</v>
      </c>
      <c r="N309" s="405">
        <v>1.06E-2</v>
      </c>
      <c r="O309" s="371">
        <f t="shared" si="175"/>
        <v>0</v>
      </c>
      <c r="P309" s="370">
        <v>1</v>
      </c>
      <c r="Q309" s="370">
        <f t="shared" si="174"/>
        <v>0.06</v>
      </c>
      <c r="R309" s="24">
        <v>5898369</v>
      </c>
      <c r="S309" s="15">
        <v>18443800</v>
      </c>
      <c r="T309" s="382">
        <v>1530000</v>
      </c>
      <c r="U309" s="382">
        <f t="shared" si="176"/>
        <v>1334495.72</v>
      </c>
      <c r="V309" s="6" t="s">
        <v>88</v>
      </c>
      <c r="W309" s="22" t="s">
        <v>78</v>
      </c>
      <c r="X309" s="27">
        <v>0.9</v>
      </c>
      <c r="Y309" s="27" t="s">
        <v>79</v>
      </c>
      <c r="Z309" s="27"/>
      <c r="AA309" s="16"/>
      <c r="AB309" s="393">
        <f t="shared" si="177"/>
        <v>416424.85139999999</v>
      </c>
      <c r="AC309" s="17"/>
      <c r="AD309" s="15">
        <f t="shared" si="178"/>
        <v>5308.5321000000004</v>
      </c>
      <c r="AE309" s="10"/>
    </row>
    <row r="310" spans="1:31" s="38" customFormat="1" ht="15.75" customHeight="1">
      <c r="A310" s="6" t="s">
        <v>124</v>
      </c>
      <c r="B310" s="10" t="str">
        <f>VLOOKUP(A310,[1]Sheet1!$A:$B,2,0)</f>
        <v>MODI</v>
      </c>
      <c r="C310" s="32" t="s">
        <v>126</v>
      </c>
      <c r="D310" s="31">
        <v>130040670021244</v>
      </c>
      <c r="E310" s="6" t="s">
        <v>74</v>
      </c>
      <c r="F310" s="10" t="s">
        <v>75</v>
      </c>
      <c r="G310" s="39" t="s">
        <v>76</v>
      </c>
      <c r="H310" s="40">
        <v>2024</v>
      </c>
      <c r="I310" s="334">
        <v>4</v>
      </c>
      <c r="J310" s="338">
        <v>45608</v>
      </c>
      <c r="K310" s="240"/>
      <c r="L310" s="400">
        <v>0.12</v>
      </c>
      <c r="M310" s="400">
        <v>0.1331</v>
      </c>
      <c r="N310" s="405">
        <v>1.3100000000000001E-2</v>
      </c>
      <c r="O310" s="371">
        <f t="shared" si="175"/>
        <v>0</v>
      </c>
      <c r="P310" s="370">
        <v>1</v>
      </c>
      <c r="Q310" s="370">
        <f t="shared" si="174"/>
        <v>0.12</v>
      </c>
      <c r="R310" s="24">
        <v>512164</v>
      </c>
      <c r="S310" s="15">
        <v>512164</v>
      </c>
      <c r="T310" s="382">
        <v>1260000</v>
      </c>
      <c r="U310" s="382">
        <f t="shared" si="176"/>
        <v>1253290.6516</v>
      </c>
      <c r="V310" s="6" t="s">
        <v>115</v>
      </c>
      <c r="W310" s="22" t="s">
        <v>78</v>
      </c>
      <c r="X310" s="27">
        <v>3.42</v>
      </c>
      <c r="Y310" s="27" t="s">
        <v>93</v>
      </c>
      <c r="Z310" s="27"/>
      <c r="AA310" s="16"/>
      <c r="AB310" s="393">
        <f t="shared" si="177"/>
        <v>68169.028399999996</v>
      </c>
      <c r="AC310" s="17"/>
      <c r="AD310" s="15">
        <f t="shared" si="178"/>
        <v>1751.60088</v>
      </c>
      <c r="AE310" s="10"/>
    </row>
    <row r="311" spans="1:31" s="38" customFormat="1" ht="15.75" customHeight="1">
      <c r="A311" s="6" t="s">
        <v>124</v>
      </c>
      <c r="B311" s="10" t="str">
        <f>VLOOKUP(A311,[1]Sheet1!$A:$B,2,0)</f>
        <v>MODI</v>
      </c>
      <c r="C311" s="32" t="s">
        <v>126</v>
      </c>
      <c r="D311" s="31">
        <v>130040670021244</v>
      </c>
      <c r="E311" s="6" t="s">
        <v>74</v>
      </c>
      <c r="F311" s="10" t="s">
        <v>75</v>
      </c>
      <c r="G311" s="39" t="s">
        <v>76</v>
      </c>
      <c r="H311" s="40">
        <v>2024</v>
      </c>
      <c r="I311" s="334">
        <v>5</v>
      </c>
      <c r="J311" s="338">
        <v>45608</v>
      </c>
      <c r="K311" s="240"/>
      <c r="L311" s="400">
        <v>0.12</v>
      </c>
      <c r="M311" s="400">
        <v>0.1331</v>
      </c>
      <c r="N311" s="405">
        <v>1.3100000000000001E-2</v>
      </c>
      <c r="O311" s="371">
        <f t="shared" si="175"/>
        <v>0</v>
      </c>
      <c r="P311" s="370">
        <v>1</v>
      </c>
      <c r="Q311" s="370">
        <f t="shared" si="174"/>
        <v>0.12</v>
      </c>
      <c r="R311" s="24">
        <v>1471130</v>
      </c>
      <c r="S311" s="15">
        <v>1983294</v>
      </c>
      <c r="T311" s="382">
        <v>1260000</v>
      </c>
      <c r="U311" s="382">
        <f t="shared" si="176"/>
        <v>1234018.8485999999</v>
      </c>
      <c r="V311" s="6" t="s">
        <v>115</v>
      </c>
      <c r="W311" s="22" t="s">
        <v>78</v>
      </c>
      <c r="X311" s="27">
        <v>3.42</v>
      </c>
      <c r="Y311" s="27" t="s">
        <v>93</v>
      </c>
      <c r="Z311" s="27"/>
      <c r="AA311" s="16"/>
      <c r="AB311" s="393">
        <f t="shared" si="177"/>
        <v>195807.40299999999</v>
      </c>
      <c r="AC311" s="17"/>
      <c r="AD311" s="15">
        <f t="shared" si="178"/>
        <v>5031.2645999999995</v>
      </c>
      <c r="AE311" s="10"/>
    </row>
    <row r="312" spans="1:31" s="38" customFormat="1" ht="15.75" customHeight="1">
      <c r="A312" s="6" t="s">
        <v>124</v>
      </c>
      <c r="B312" s="10" t="str">
        <f>VLOOKUP(A312,[1]Sheet1!$A:$B,2,0)</f>
        <v>MODI</v>
      </c>
      <c r="C312" s="32" t="s">
        <v>126</v>
      </c>
      <c r="D312" s="31">
        <v>130040670021244</v>
      </c>
      <c r="E312" s="6" t="s">
        <v>74</v>
      </c>
      <c r="F312" s="10" t="s">
        <v>75</v>
      </c>
      <c r="G312" s="39" t="s">
        <v>76</v>
      </c>
      <c r="H312" s="40">
        <v>2024</v>
      </c>
      <c r="I312" s="334">
        <v>6</v>
      </c>
      <c r="J312" s="338">
        <v>45608</v>
      </c>
      <c r="K312" s="240"/>
      <c r="L312" s="400">
        <v>0.12</v>
      </c>
      <c r="M312" s="400">
        <v>0.1331</v>
      </c>
      <c r="N312" s="405">
        <v>1.3100000000000001E-2</v>
      </c>
      <c r="O312" s="371">
        <f t="shared" si="175"/>
        <v>0</v>
      </c>
      <c r="P312" s="370">
        <v>1</v>
      </c>
      <c r="Q312" s="370">
        <f t="shared" si="174"/>
        <v>0.12</v>
      </c>
      <c r="R312" s="24">
        <v>916797</v>
      </c>
      <c r="S312" s="15">
        <v>2900091</v>
      </c>
      <c r="T312" s="382">
        <v>1260000</v>
      </c>
      <c r="U312" s="382">
        <f t="shared" si="176"/>
        <v>1222008.8078999999</v>
      </c>
      <c r="V312" s="6" t="s">
        <v>115</v>
      </c>
      <c r="W312" s="22" t="s">
        <v>78</v>
      </c>
      <c r="X312" s="27">
        <v>3.42</v>
      </c>
      <c r="Y312" s="27" t="s">
        <v>93</v>
      </c>
      <c r="Z312" s="27"/>
      <c r="AA312" s="16"/>
      <c r="AB312" s="393">
        <f t="shared" si="177"/>
        <v>122025.6807</v>
      </c>
      <c r="AC312" s="17"/>
      <c r="AD312" s="15">
        <f t="shared" si="178"/>
        <v>3135.4457399999997</v>
      </c>
      <c r="AE312" s="10"/>
    </row>
    <row r="313" spans="1:31" s="38" customFormat="1" ht="15.75" customHeight="1">
      <c r="A313" s="6" t="s">
        <v>124</v>
      </c>
      <c r="B313" s="10" t="str">
        <f>VLOOKUP(A313,[1]Sheet1!$A:$B,2,0)</f>
        <v>MODI</v>
      </c>
      <c r="C313" s="32" t="s">
        <v>126</v>
      </c>
      <c r="D313" s="31">
        <v>130040670021244</v>
      </c>
      <c r="E313" s="6" t="s">
        <v>74</v>
      </c>
      <c r="F313" s="10" t="s">
        <v>75</v>
      </c>
      <c r="G313" s="39" t="s">
        <v>76</v>
      </c>
      <c r="H313" s="40">
        <v>2024</v>
      </c>
      <c r="I313" s="334">
        <v>7</v>
      </c>
      <c r="J313" s="338">
        <v>45608</v>
      </c>
      <c r="K313" s="240"/>
      <c r="L313" s="400">
        <v>0.12</v>
      </c>
      <c r="M313" s="400">
        <v>0.1331</v>
      </c>
      <c r="N313" s="405">
        <v>1.3100000000000001E-2</v>
      </c>
      <c r="O313" s="371">
        <f t="shared" si="175"/>
        <v>0</v>
      </c>
      <c r="P313" s="370">
        <v>1</v>
      </c>
      <c r="Q313" s="370">
        <f t="shared" si="174"/>
        <v>0.12</v>
      </c>
      <c r="R313" s="24">
        <v>3777723</v>
      </c>
      <c r="S313" s="15">
        <v>6677814</v>
      </c>
      <c r="T313" s="382">
        <v>1260000</v>
      </c>
      <c r="U313" s="382">
        <f t="shared" si="176"/>
        <v>1172520.6366000001</v>
      </c>
      <c r="V313" s="6" t="s">
        <v>115</v>
      </c>
      <c r="W313" s="22" t="s">
        <v>78</v>
      </c>
      <c r="X313" s="27">
        <v>3.42</v>
      </c>
      <c r="Y313" s="27" t="s">
        <v>93</v>
      </c>
      <c r="Z313" s="27"/>
      <c r="AA313" s="16"/>
      <c r="AB313" s="393">
        <f t="shared" si="177"/>
        <v>502814.9313</v>
      </c>
      <c r="AC313" s="17"/>
      <c r="AD313" s="15">
        <f t="shared" si="178"/>
        <v>12919.81266</v>
      </c>
      <c r="AE313" s="10"/>
    </row>
    <row r="314" spans="1:31" s="38" customFormat="1" ht="15.75" customHeight="1">
      <c r="A314" s="6" t="s">
        <v>124</v>
      </c>
      <c r="B314" s="10" t="str">
        <f>VLOOKUP(A314,[1]Sheet1!$A:$B,2,0)</f>
        <v>MODI</v>
      </c>
      <c r="C314" s="32" t="s">
        <v>126</v>
      </c>
      <c r="D314" s="31">
        <v>130040670021244</v>
      </c>
      <c r="E314" s="6" t="s">
        <v>74</v>
      </c>
      <c r="F314" s="10" t="s">
        <v>75</v>
      </c>
      <c r="G314" s="39" t="s">
        <v>76</v>
      </c>
      <c r="H314" s="40">
        <v>2024</v>
      </c>
      <c r="I314" s="334">
        <v>8</v>
      </c>
      <c r="J314" s="338">
        <v>45608</v>
      </c>
      <c r="K314" s="240"/>
      <c r="L314" s="400">
        <v>0.12</v>
      </c>
      <c r="M314" s="400">
        <v>0.1331</v>
      </c>
      <c r="N314" s="405">
        <v>1.3100000000000001E-2</v>
      </c>
      <c r="O314" s="371">
        <f t="shared" si="175"/>
        <v>0</v>
      </c>
      <c r="P314" s="370">
        <v>1</v>
      </c>
      <c r="Q314" s="370">
        <f t="shared" si="174"/>
        <v>0.12</v>
      </c>
      <c r="R314" s="24">
        <v>3844967</v>
      </c>
      <c r="S314" s="15">
        <v>10522781</v>
      </c>
      <c r="T314" s="382">
        <v>1260000</v>
      </c>
      <c r="U314" s="382">
        <f t="shared" si="176"/>
        <v>1122151.5689000001</v>
      </c>
      <c r="V314" s="6" t="s">
        <v>115</v>
      </c>
      <c r="W314" s="22" t="s">
        <v>78</v>
      </c>
      <c r="X314" s="27">
        <v>3.42</v>
      </c>
      <c r="Y314" s="27" t="s">
        <v>93</v>
      </c>
      <c r="Z314" s="27"/>
      <c r="AA314" s="16"/>
      <c r="AB314" s="393">
        <f t="shared" si="177"/>
        <v>511765.10769999999</v>
      </c>
      <c r="AC314" s="17"/>
      <c r="AD314" s="15">
        <f t="shared" si="178"/>
        <v>13149.78714</v>
      </c>
      <c r="AE314" s="10"/>
    </row>
    <row r="315" spans="1:31" s="38" customFormat="1" ht="15.75" customHeight="1">
      <c r="A315" s="6" t="s">
        <v>127</v>
      </c>
      <c r="B315" s="10" t="str">
        <f>VLOOKUP(A315,[1]Sheet1!$A:$B,2,0)</f>
        <v>MODI</v>
      </c>
      <c r="C315" s="32" t="s">
        <v>111</v>
      </c>
      <c r="D315" s="31">
        <v>130040670017656</v>
      </c>
      <c r="E315" s="6" t="s">
        <v>74</v>
      </c>
      <c r="F315" s="10" t="s">
        <v>75</v>
      </c>
      <c r="G315" s="39" t="s">
        <v>76</v>
      </c>
      <c r="H315" s="40">
        <v>2024</v>
      </c>
      <c r="I315" s="334">
        <v>4</v>
      </c>
      <c r="J315" s="338">
        <v>45608</v>
      </c>
      <c r="K315" s="240"/>
      <c r="L315" s="400">
        <v>9.6000000000000002E-2</v>
      </c>
      <c r="M315" s="400">
        <v>0.1069</v>
      </c>
      <c r="N315" s="405">
        <v>1.09E-2</v>
      </c>
      <c r="O315" s="371">
        <f t="shared" si="175"/>
        <v>0</v>
      </c>
      <c r="P315" s="370">
        <v>1</v>
      </c>
      <c r="Q315" s="370">
        <f t="shared" si="174"/>
        <v>9.6000000000000002E-2</v>
      </c>
      <c r="R315" s="24">
        <v>349788</v>
      </c>
      <c r="S315" s="15">
        <v>349788</v>
      </c>
      <c r="T315" s="382">
        <v>525000</v>
      </c>
      <c r="U315" s="382">
        <f t="shared" si="176"/>
        <v>521187.31079999998</v>
      </c>
      <c r="V315" s="6" t="s">
        <v>115</v>
      </c>
      <c r="W315" s="22" t="s">
        <v>78</v>
      </c>
      <c r="X315" s="27">
        <v>2.4</v>
      </c>
      <c r="Y315" s="27" t="s">
        <v>93</v>
      </c>
      <c r="Z315" s="27"/>
      <c r="AA315" s="16"/>
      <c r="AB315" s="393">
        <f t="shared" si="177"/>
        <v>37392.337200000002</v>
      </c>
      <c r="AC315" s="17"/>
      <c r="AD315" s="15">
        <f t="shared" si="178"/>
        <v>839.49119999999994</v>
      </c>
      <c r="AE315" s="10"/>
    </row>
    <row r="316" spans="1:31" s="38" customFormat="1" ht="15.75" customHeight="1">
      <c r="A316" s="6" t="s">
        <v>127</v>
      </c>
      <c r="B316" s="10" t="str">
        <f>VLOOKUP(A316,[1]Sheet1!$A:$B,2,0)</f>
        <v>MODI</v>
      </c>
      <c r="C316" s="32" t="s">
        <v>111</v>
      </c>
      <c r="D316" s="31">
        <v>130040670017656</v>
      </c>
      <c r="E316" s="6" t="s">
        <v>74</v>
      </c>
      <c r="F316" s="10" t="s">
        <v>75</v>
      </c>
      <c r="G316" s="39" t="s">
        <v>76</v>
      </c>
      <c r="H316" s="40">
        <v>2024</v>
      </c>
      <c r="I316" s="334">
        <v>5</v>
      </c>
      <c r="J316" s="338">
        <v>45608</v>
      </c>
      <c r="K316" s="240"/>
      <c r="L316" s="400">
        <v>9.6000000000000002E-2</v>
      </c>
      <c r="M316" s="400">
        <v>0.1069</v>
      </c>
      <c r="N316" s="405">
        <v>1.09E-2</v>
      </c>
      <c r="O316" s="371">
        <f t="shared" si="175"/>
        <v>0</v>
      </c>
      <c r="P316" s="370">
        <v>1</v>
      </c>
      <c r="Q316" s="370">
        <f t="shared" si="174"/>
        <v>9.6000000000000002E-2</v>
      </c>
      <c r="R316" s="24">
        <v>148060</v>
      </c>
      <c r="S316" s="15">
        <v>497848</v>
      </c>
      <c r="T316" s="382">
        <v>525000</v>
      </c>
      <c r="U316" s="382">
        <f t="shared" si="176"/>
        <v>519573.45679999999</v>
      </c>
      <c r="V316" s="6" t="s">
        <v>115</v>
      </c>
      <c r="W316" s="22" t="s">
        <v>78</v>
      </c>
      <c r="X316" s="27">
        <v>2.4</v>
      </c>
      <c r="Y316" s="27" t="s">
        <v>93</v>
      </c>
      <c r="Z316" s="27"/>
      <c r="AA316" s="16"/>
      <c r="AB316" s="393">
        <f t="shared" si="177"/>
        <v>15827.614</v>
      </c>
      <c r="AC316" s="17"/>
      <c r="AD316" s="15">
        <f t="shared" si="178"/>
        <v>355.34399999999999</v>
      </c>
      <c r="AE316" s="10"/>
    </row>
    <row r="317" spans="1:31" s="38" customFormat="1" ht="15.75" customHeight="1">
      <c r="A317" s="6" t="s">
        <v>127</v>
      </c>
      <c r="B317" s="10" t="str">
        <f>VLOOKUP(A317,[1]Sheet1!$A:$B,2,0)</f>
        <v>MODI</v>
      </c>
      <c r="C317" s="32" t="s">
        <v>111</v>
      </c>
      <c r="D317" s="31">
        <v>130040670017656</v>
      </c>
      <c r="E317" s="6" t="s">
        <v>74</v>
      </c>
      <c r="F317" s="10" t="s">
        <v>75</v>
      </c>
      <c r="G317" s="39" t="s">
        <v>76</v>
      </c>
      <c r="H317" s="40">
        <v>2024</v>
      </c>
      <c r="I317" s="334">
        <v>6</v>
      </c>
      <c r="J317" s="338">
        <v>45608</v>
      </c>
      <c r="K317" s="240"/>
      <c r="L317" s="400">
        <v>9.6000000000000002E-2</v>
      </c>
      <c r="M317" s="400">
        <v>0.1069</v>
      </c>
      <c r="N317" s="405">
        <v>1.09E-2</v>
      </c>
      <c r="O317" s="371">
        <f t="shared" si="175"/>
        <v>0</v>
      </c>
      <c r="P317" s="370">
        <v>1</v>
      </c>
      <c r="Q317" s="370">
        <f t="shared" si="174"/>
        <v>9.6000000000000002E-2</v>
      </c>
      <c r="R317" s="24">
        <v>1267200</v>
      </c>
      <c r="S317" s="15">
        <v>1765048</v>
      </c>
      <c r="T317" s="382">
        <v>525000</v>
      </c>
      <c r="U317" s="382">
        <f t="shared" si="176"/>
        <v>505760.9768</v>
      </c>
      <c r="V317" s="6" t="s">
        <v>115</v>
      </c>
      <c r="W317" s="22" t="s">
        <v>78</v>
      </c>
      <c r="X317" s="27">
        <v>2.4</v>
      </c>
      <c r="Y317" s="27" t="s">
        <v>93</v>
      </c>
      <c r="Z317" s="27"/>
      <c r="AA317" s="16"/>
      <c r="AB317" s="393">
        <f t="shared" si="177"/>
        <v>135463.67999999999</v>
      </c>
      <c r="AC317" s="17"/>
      <c r="AD317" s="15">
        <f t="shared" si="178"/>
        <v>3041.28</v>
      </c>
      <c r="AE317" s="10"/>
    </row>
    <row r="318" spans="1:31" s="38" customFormat="1" ht="15.75" customHeight="1">
      <c r="A318" s="6" t="s">
        <v>127</v>
      </c>
      <c r="B318" s="10" t="str">
        <f>VLOOKUP(A318,[1]Sheet1!$A:$B,2,0)</f>
        <v>MODI</v>
      </c>
      <c r="C318" s="32" t="s">
        <v>111</v>
      </c>
      <c r="D318" s="31">
        <v>130040670017656</v>
      </c>
      <c r="E318" s="6" t="s">
        <v>74</v>
      </c>
      <c r="F318" s="10" t="s">
        <v>75</v>
      </c>
      <c r="G318" s="39" t="s">
        <v>76</v>
      </c>
      <c r="H318" s="40">
        <v>2024</v>
      </c>
      <c r="I318" s="334">
        <v>7</v>
      </c>
      <c r="J318" s="338">
        <v>45608</v>
      </c>
      <c r="K318" s="240"/>
      <c r="L318" s="400">
        <v>9.6000000000000002E-2</v>
      </c>
      <c r="M318" s="400">
        <v>0.1069</v>
      </c>
      <c r="N318" s="405">
        <v>1.09E-2</v>
      </c>
      <c r="O318" s="371">
        <f t="shared" si="175"/>
        <v>0</v>
      </c>
      <c r="P318" s="370">
        <v>1</v>
      </c>
      <c r="Q318" s="370">
        <f t="shared" si="174"/>
        <v>9.6000000000000002E-2</v>
      </c>
      <c r="R318" s="24">
        <v>651616</v>
      </c>
      <c r="S318" s="15">
        <v>2416664</v>
      </c>
      <c r="T318" s="382">
        <v>525000</v>
      </c>
      <c r="U318" s="382">
        <f t="shared" si="176"/>
        <v>498658.36239999998</v>
      </c>
      <c r="V318" s="6" t="s">
        <v>115</v>
      </c>
      <c r="W318" s="22" t="s">
        <v>78</v>
      </c>
      <c r="X318" s="27">
        <v>2.4</v>
      </c>
      <c r="Y318" s="27" t="s">
        <v>93</v>
      </c>
      <c r="Z318" s="27"/>
      <c r="AA318" s="16"/>
      <c r="AB318" s="393">
        <f t="shared" si="177"/>
        <v>69657.75039999999</v>
      </c>
      <c r="AC318" s="17"/>
      <c r="AD318" s="15">
        <f t="shared" si="178"/>
        <v>1563.8783999999998</v>
      </c>
      <c r="AE318" s="10"/>
    </row>
    <row r="319" spans="1:31" s="38" customFormat="1" ht="15.75" customHeight="1">
      <c r="A319" s="6" t="s">
        <v>127</v>
      </c>
      <c r="B319" s="10" t="str">
        <f>VLOOKUP(A319,[1]Sheet1!$A:$B,2,0)</f>
        <v>MODI</v>
      </c>
      <c r="C319" s="32" t="s">
        <v>111</v>
      </c>
      <c r="D319" s="31">
        <v>130040670017656</v>
      </c>
      <c r="E319" s="6" t="s">
        <v>74</v>
      </c>
      <c r="F319" s="10" t="s">
        <v>75</v>
      </c>
      <c r="G319" s="39" t="s">
        <v>76</v>
      </c>
      <c r="H319" s="40">
        <v>2024</v>
      </c>
      <c r="I319" s="334">
        <v>8</v>
      </c>
      <c r="J319" s="338">
        <v>45608</v>
      </c>
      <c r="K319" s="240"/>
      <c r="L319" s="400">
        <v>9.6000000000000002E-2</v>
      </c>
      <c r="M319" s="400">
        <v>0.1069</v>
      </c>
      <c r="N319" s="405">
        <v>1.09E-2</v>
      </c>
      <c r="O319" s="371">
        <f t="shared" si="175"/>
        <v>0</v>
      </c>
      <c r="P319" s="370">
        <v>1</v>
      </c>
      <c r="Q319" s="370">
        <f t="shared" si="174"/>
        <v>9.6000000000000002E-2</v>
      </c>
      <c r="R319" s="24">
        <v>0</v>
      </c>
      <c r="S319" s="15">
        <v>2416664</v>
      </c>
      <c r="T319" s="382">
        <v>525000</v>
      </c>
      <c r="U319" s="382">
        <f t="shared" si="176"/>
        <v>498658.36239999998</v>
      </c>
      <c r="V319" s="6" t="s">
        <v>115</v>
      </c>
      <c r="W319" s="22" t="s">
        <v>78</v>
      </c>
      <c r="X319" s="27">
        <v>2.4</v>
      </c>
      <c r="Y319" s="27" t="s">
        <v>93</v>
      </c>
      <c r="Z319" s="27"/>
      <c r="AA319" s="16"/>
      <c r="AB319" s="393">
        <f t="shared" si="177"/>
        <v>0</v>
      </c>
      <c r="AC319" s="17"/>
      <c r="AD319" s="15">
        <f t="shared" si="178"/>
        <v>0</v>
      </c>
      <c r="AE319" s="10"/>
    </row>
    <row r="320" spans="1:31" s="38" customFormat="1" ht="15.75" customHeight="1">
      <c r="A320" s="6" t="s">
        <v>127</v>
      </c>
      <c r="B320" s="10" t="str">
        <f>VLOOKUP(A320,[1]Sheet1!$A:$B,2,0)</f>
        <v>MODI</v>
      </c>
      <c r="C320" s="32" t="s">
        <v>114</v>
      </c>
      <c r="D320" s="31">
        <v>130040670017662</v>
      </c>
      <c r="E320" s="6" t="s">
        <v>74</v>
      </c>
      <c r="F320" s="10" t="s">
        <v>128</v>
      </c>
      <c r="G320" s="39" t="s">
        <v>76</v>
      </c>
      <c r="H320" s="40">
        <v>2024</v>
      </c>
      <c r="I320" s="334">
        <v>4</v>
      </c>
      <c r="J320" s="338">
        <v>45608</v>
      </c>
      <c r="K320" s="240"/>
      <c r="L320" s="400">
        <v>4.8000000000000001E-2</v>
      </c>
      <c r="M320" s="400">
        <v>6.0299999999999999E-2</v>
      </c>
      <c r="N320" s="405">
        <v>1.23E-2</v>
      </c>
      <c r="O320" s="371">
        <f t="shared" si="175"/>
        <v>0</v>
      </c>
      <c r="P320" s="370">
        <v>1</v>
      </c>
      <c r="Q320" s="370">
        <f t="shared" si="174"/>
        <v>4.8000000000000001E-2</v>
      </c>
      <c r="R320" s="24">
        <v>330574</v>
      </c>
      <c r="S320" s="24">
        <v>330574</v>
      </c>
      <c r="T320" s="382">
        <v>589000</v>
      </c>
      <c r="U320" s="382">
        <f t="shared" si="176"/>
        <v>584933.93980000005</v>
      </c>
      <c r="V320" s="6" t="s">
        <v>115</v>
      </c>
      <c r="W320" s="22" t="s">
        <v>78</v>
      </c>
      <c r="X320" s="27">
        <v>0.67</v>
      </c>
      <c r="Y320" s="27" t="s">
        <v>93</v>
      </c>
      <c r="Z320" s="27"/>
      <c r="AA320" s="16"/>
      <c r="AB320" s="393">
        <f t="shared" si="177"/>
        <v>19933.6122</v>
      </c>
      <c r="AC320" s="17"/>
      <c r="AD320" s="15">
        <f t="shared" si="178"/>
        <v>221.48458000000002</v>
      </c>
      <c r="AE320" s="10"/>
    </row>
    <row r="321" spans="1:31" s="38" customFormat="1" ht="15.75" customHeight="1">
      <c r="A321" s="6" t="s">
        <v>127</v>
      </c>
      <c r="B321" s="10" t="str">
        <f>VLOOKUP(A321,[1]Sheet1!$A:$B,2,0)</f>
        <v>MODI</v>
      </c>
      <c r="C321" s="32" t="s">
        <v>114</v>
      </c>
      <c r="D321" s="31">
        <v>130040670017662</v>
      </c>
      <c r="E321" s="6" t="s">
        <v>74</v>
      </c>
      <c r="F321" s="10" t="s">
        <v>75</v>
      </c>
      <c r="G321" s="39" t="s">
        <v>76</v>
      </c>
      <c r="H321" s="40">
        <v>2024</v>
      </c>
      <c r="I321" s="334">
        <v>5</v>
      </c>
      <c r="J321" s="338">
        <v>45608</v>
      </c>
      <c r="K321" s="240"/>
      <c r="L321" s="400">
        <v>4.8000000000000001E-2</v>
      </c>
      <c r="M321" s="400">
        <v>6.0299999999999999E-2</v>
      </c>
      <c r="N321" s="405">
        <v>1.23E-2</v>
      </c>
      <c r="O321" s="371">
        <f t="shared" si="175"/>
        <v>0</v>
      </c>
      <c r="P321" s="370">
        <v>1</v>
      </c>
      <c r="Q321" s="370">
        <f t="shared" si="174"/>
        <v>4.8000000000000001E-2</v>
      </c>
      <c r="R321" s="24">
        <v>54000</v>
      </c>
      <c r="S321" s="15">
        <v>384574</v>
      </c>
      <c r="T321" s="382">
        <v>589000</v>
      </c>
      <c r="U321" s="382">
        <f t="shared" si="176"/>
        <v>584269.73979999998</v>
      </c>
      <c r="V321" s="6" t="s">
        <v>115</v>
      </c>
      <c r="W321" s="22" t="s">
        <v>78</v>
      </c>
      <c r="X321" s="27">
        <v>0.67</v>
      </c>
      <c r="Y321" s="27" t="s">
        <v>93</v>
      </c>
      <c r="Z321" s="27"/>
      <c r="AA321" s="16"/>
      <c r="AB321" s="393">
        <f t="shared" si="177"/>
        <v>3256.2</v>
      </c>
      <c r="AC321" s="17"/>
      <c r="AD321" s="15">
        <f t="shared" si="178"/>
        <v>36.18</v>
      </c>
      <c r="AE321" s="10"/>
    </row>
    <row r="322" spans="1:31" s="38" customFormat="1" ht="15.75" customHeight="1">
      <c r="A322" s="6" t="s">
        <v>127</v>
      </c>
      <c r="B322" s="10" t="str">
        <f>VLOOKUP(A322,[1]Sheet1!$A:$B,2,0)</f>
        <v>MODI</v>
      </c>
      <c r="C322" s="32" t="s">
        <v>114</v>
      </c>
      <c r="D322" s="31">
        <v>130040670017662</v>
      </c>
      <c r="E322" s="6" t="s">
        <v>74</v>
      </c>
      <c r="F322" s="10" t="s">
        <v>75</v>
      </c>
      <c r="G322" s="39" t="s">
        <v>76</v>
      </c>
      <c r="H322" s="40">
        <v>2024</v>
      </c>
      <c r="I322" s="334">
        <v>6</v>
      </c>
      <c r="J322" s="338">
        <v>45608</v>
      </c>
      <c r="K322" s="240"/>
      <c r="L322" s="400">
        <v>4.8000000000000001E-2</v>
      </c>
      <c r="M322" s="400">
        <v>6.0299999999999999E-2</v>
      </c>
      <c r="N322" s="405">
        <v>1.23E-2</v>
      </c>
      <c r="O322" s="371">
        <f t="shared" si="175"/>
        <v>0</v>
      </c>
      <c r="P322" s="370">
        <v>1</v>
      </c>
      <c r="Q322" s="370">
        <f t="shared" si="174"/>
        <v>4.8000000000000001E-2</v>
      </c>
      <c r="R322" s="24">
        <v>1403320</v>
      </c>
      <c r="S322" s="15">
        <v>1787894</v>
      </c>
      <c r="T322" s="382">
        <v>589000</v>
      </c>
      <c r="U322" s="382">
        <f t="shared" si="176"/>
        <v>567008.90379999997</v>
      </c>
      <c r="V322" s="6" t="s">
        <v>115</v>
      </c>
      <c r="W322" s="22" t="s">
        <v>78</v>
      </c>
      <c r="X322" s="27">
        <v>0.67</v>
      </c>
      <c r="Y322" s="27" t="s">
        <v>93</v>
      </c>
      <c r="Z322" s="27"/>
      <c r="AA322" s="16"/>
      <c r="AB322" s="393">
        <f t="shared" si="177"/>
        <v>84620.195999999996</v>
      </c>
      <c r="AC322" s="17"/>
      <c r="AD322" s="15">
        <f t="shared" si="178"/>
        <v>940.22440000000006</v>
      </c>
      <c r="AE322" s="10"/>
    </row>
    <row r="323" spans="1:31" s="38" customFormat="1" ht="15.75" customHeight="1">
      <c r="A323" s="6" t="s">
        <v>127</v>
      </c>
      <c r="B323" s="10" t="str">
        <f>VLOOKUP(A323,[1]Sheet1!$A:$B,2,0)</f>
        <v>MODI</v>
      </c>
      <c r="C323" s="32" t="s">
        <v>114</v>
      </c>
      <c r="D323" s="31">
        <v>130040670017662</v>
      </c>
      <c r="E323" s="6" t="s">
        <v>74</v>
      </c>
      <c r="F323" s="10" t="s">
        <v>75</v>
      </c>
      <c r="G323" s="39" t="s">
        <v>76</v>
      </c>
      <c r="H323" s="40">
        <v>2024</v>
      </c>
      <c r="I323" s="334">
        <v>7</v>
      </c>
      <c r="J323" s="338">
        <v>45608</v>
      </c>
      <c r="K323" s="240"/>
      <c r="L323" s="400">
        <v>4.8000000000000001E-2</v>
      </c>
      <c r="M323" s="400">
        <v>6.0299999999999999E-2</v>
      </c>
      <c r="N323" s="405">
        <v>1.23E-2</v>
      </c>
      <c r="O323" s="371">
        <f t="shared" si="175"/>
        <v>0</v>
      </c>
      <c r="P323" s="370">
        <v>1</v>
      </c>
      <c r="Q323" s="370">
        <f t="shared" si="174"/>
        <v>4.8000000000000001E-2</v>
      </c>
      <c r="R323" s="24">
        <v>482670</v>
      </c>
      <c r="S323" s="15">
        <v>2270564</v>
      </c>
      <c r="T323" s="382">
        <v>589000</v>
      </c>
      <c r="U323" s="382">
        <f t="shared" si="176"/>
        <v>561072.06279999996</v>
      </c>
      <c r="V323" s="6" t="s">
        <v>115</v>
      </c>
      <c r="W323" s="22" t="s">
        <v>78</v>
      </c>
      <c r="X323" s="27">
        <v>0.67</v>
      </c>
      <c r="Y323" s="27" t="s">
        <v>93</v>
      </c>
      <c r="Z323" s="27"/>
      <c r="AA323" s="16"/>
      <c r="AB323" s="393">
        <f t="shared" si="177"/>
        <v>29105.001</v>
      </c>
      <c r="AC323" s="17"/>
      <c r="AD323" s="15">
        <f t="shared" si="178"/>
        <v>323.38890000000004</v>
      </c>
      <c r="AE323" s="10"/>
    </row>
    <row r="324" spans="1:31" s="38" customFormat="1" ht="15.75" customHeight="1">
      <c r="A324" s="6" t="s">
        <v>127</v>
      </c>
      <c r="B324" s="10" t="str">
        <f>VLOOKUP(A324,[1]Sheet1!$A:$B,2,0)</f>
        <v>MODI</v>
      </c>
      <c r="C324" s="32" t="s">
        <v>114</v>
      </c>
      <c r="D324" s="31">
        <v>130040670017662</v>
      </c>
      <c r="E324" s="6" t="s">
        <v>74</v>
      </c>
      <c r="F324" s="10" t="s">
        <v>75</v>
      </c>
      <c r="G324" s="39" t="s">
        <v>76</v>
      </c>
      <c r="H324" s="40">
        <v>2024</v>
      </c>
      <c r="I324" s="334">
        <v>8</v>
      </c>
      <c r="J324" s="338">
        <v>45608</v>
      </c>
      <c r="K324" s="240"/>
      <c r="L324" s="400">
        <v>4.8000000000000001E-2</v>
      </c>
      <c r="M324" s="400">
        <v>6.0299999999999999E-2</v>
      </c>
      <c r="N324" s="405">
        <v>1.23E-2</v>
      </c>
      <c r="O324" s="371">
        <f t="shared" si="175"/>
        <v>0</v>
      </c>
      <c r="P324" s="370">
        <v>1</v>
      </c>
      <c r="Q324" s="370">
        <f t="shared" si="174"/>
        <v>4.8000000000000001E-2</v>
      </c>
      <c r="R324" s="24">
        <v>0</v>
      </c>
      <c r="S324" s="15">
        <v>2270564</v>
      </c>
      <c r="T324" s="382">
        <v>589000</v>
      </c>
      <c r="U324" s="382">
        <f t="shared" si="176"/>
        <v>561072.06279999996</v>
      </c>
      <c r="V324" s="6" t="s">
        <v>115</v>
      </c>
      <c r="W324" s="22" t="s">
        <v>78</v>
      </c>
      <c r="X324" s="27">
        <v>0.67</v>
      </c>
      <c r="Y324" s="27" t="s">
        <v>93</v>
      </c>
      <c r="Z324" s="27"/>
      <c r="AA324" s="16"/>
      <c r="AB324" s="393">
        <f t="shared" si="177"/>
        <v>0</v>
      </c>
      <c r="AC324" s="17"/>
      <c r="AD324" s="15">
        <f t="shared" si="178"/>
        <v>0</v>
      </c>
      <c r="AE324" s="10"/>
    </row>
    <row r="325" spans="1:31" s="38" customFormat="1" ht="15.75" customHeight="1">
      <c r="A325" s="6" t="s">
        <v>127</v>
      </c>
      <c r="B325" s="10" t="str">
        <f>VLOOKUP(A325,[1]Sheet1!$A:$B,2,0)</f>
        <v>MODI</v>
      </c>
      <c r="C325" s="32" t="s">
        <v>129</v>
      </c>
      <c r="D325" s="31">
        <v>130040670017658</v>
      </c>
      <c r="E325" s="6" t="s">
        <v>74</v>
      </c>
      <c r="F325" s="10" t="s">
        <v>75</v>
      </c>
      <c r="G325" s="39" t="s">
        <v>76</v>
      </c>
      <c r="H325" s="40">
        <v>2024</v>
      </c>
      <c r="I325" s="334">
        <v>4</v>
      </c>
      <c r="J325" s="338">
        <v>45608</v>
      </c>
      <c r="K325" s="240"/>
      <c r="L325" s="400">
        <v>4.3999999999999997E-2</v>
      </c>
      <c r="M325" s="400">
        <v>5.0799999999999998E-2</v>
      </c>
      <c r="N325" s="405">
        <v>6.7999999999999996E-3</v>
      </c>
      <c r="O325" s="371">
        <f t="shared" si="175"/>
        <v>0</v>
      </c>
      <c r="P325" s="370">
        <v>1</v>
      </c>
      <c r="Q325" s="370">
        <f t="shared" si="174"/>
        <v>4.3999999999999997E-2</v>
      </c>
      <c r="R325" s="24">
        <v>330574</v>
      </c>
      <c r="S325" s="15">
        <v>330574</v>
      </c>
      <c r="T325" s="382">
        <v>325000</v>
      </c>
      <c r="U325" s="382">
        <f t="shared" si="176"/>
        <v>322752.0968</v>
      </c>
      <c r="V325" s="6" t="s">
        <v>117</v>
      </c>
      <c r="W325" s="22" t="s">
        <v>78</v>
      </c>
      <c r="X325" s="27">
        <v>0.8</v>
      </c>
      <c r="Y325" s="27" t="s">
        <v>118</v>
      </c>
      <c r="Z325" s="27"/>
      <c r="AA325" s="16"/>
      <c r="AB325" s="393">
        <f t="shared" si="177"/>
        <v>16793.159199999998</v>
      </c>
      <c r="AC325" s="17"/>
      <c r="AD325" s="15">
        <f t="shared" si="178"/>
        <v>264.45920000000001</v>
      </c>
      <c r="AE325" s="10"/>
    </row>
    <row r="326" spans="1:31" s="38" customFormat="1" ht="15.75" customHeight="1">
      <c r="A326" s="6" t="s">
        <v>127</v>
      </c>
      <c r="B326" s="10" t="str">
        <f>VLOOKUP(A326,[1]Sheet1!$A:$B,2,0)</f>
        <v>MODI</v>
      </c>
      <c r="C326" s="32" t="s">
        <v>129</v>
      </c>
      <c r="D326" s="31">
        <v>130040670017658</v>
      </c>
      <c r="E326" s="6" t="s">
        <v>74</v>
      </c>
      <c r="F326" s="10" t="s">
        <v>75</v>
      </c>
      <c r="G326" s="39" t="s">
        <v>76</v>
      </c>
      <c r="H326" s="40">
        <v>2024</v>
      </c>
      <c r="I326" s="334">
        <v>5</v>
      </c>
      <c r="J326" s="338">
        <v>45608</v>
      </c>
      <c r="K326" s="240"/>
      <c r="L326" s="400">
        <v>4.3999999999999997E-2</v>
      </c>
      <c r="M326" s="400">
        <v>5.0799999999999998E-2</v>
      </c>
      <c r="N326" s="405">
        <v>6.7999999999999996E-3</v>
      </c>
      <c r="O326" s="371">
        <f t="shared" si="175"/>
        <v>0</v>
      </c>
      <c r="P326" s="370">
        <v>1</v>
      </c>
      <c r="Q326" s="370">
        <f t="shared" si="174"/>
        <v>4.3999999999999997E-2</v>
      </c>
      <c r="R326" s="24">
        <v>91220</v>
      </c>
      <c r="S326" s="15">
        <f>S325+R326</f>
        <v>421794</v>
      </c>
      <c r="T326" s="382">
        <v>325000</v>
      </c>
      <c r="U326" s="382">
        <f t="shared" si="176"/>
        <v>322131.80080000003</v>
      </c>
      <c r="V326" s="6" t="s">
        <v>117</v>
      </c>
      <c r="W326" s="22" t="s">
        <v>78</v>
      </c>
      <c r="X326" s="27">
        <v>0.8</v>
      </c>
      <c r="Y326" s="27" t="s">
        <v>118</v>
      </c>
      <c r="Z326" s="27"/>
      <c r="AA326" s="16"/>
      <c r="AB326" s="393">
        <f t="shared" si="177"/>
        <v>4633.9759999999997</v>
      </c>
      <c r="AC326" s="17"/>
      <c r="AD326" s="15">
        <f t="shared" si="178"/>
        <v>72.975999999999999</v>
      </c>
      <c r="AE326" s="10"/>
    </row>
    <row r="327" spans="1:31" s="38" customFormat="1" ht="15.75" customHeight="1">
      <c r="A327" s="6" t="s">
        <v>127</v>
      </c>
      <c r="B327" s="10" t="str">
        <f>VLOOKUP(A327,[1]Sheet1!$A:$B,2,0)</f>
        <v>MODI</v>
      </c>
      <c r="C327" s="32" t="s">
        <v>129</v>
      </c>
      <c r="D327" s="31">
        <v>130040670017658</v>
      </c>
      <c r="E327" s="6" t="s">
        <v>74</v>
      </c>
      <c r="F327" s="10" t="s">
        <v>75</v>
      </c>
      <c r="G327" s="39" t="s">
        <v>76</v>
      </c>
      <c r="H327" s="40">
        <v>2024</v>
      </c>
      <c r="I327" s="334">
        <v>6</v>
      </c>
      <c r="J327" s="338">
        <v>45608</v>
      </c>
      <c r="K327" s="240"/>
      <c r="L327" s="400">
        <v>4.3999999999999997E-2</v>
      </c>
      <c r="M327" s="400">
        <v>5.0799999999999998E-2</v>
      </c>
      <c r="N327" s="405">
        <v>6.7999999999999996E-3</v>
      </c>
      <c r="O327" s="371">
        <f t="shared" si="175"/>
        <v>0</v>
      </c>
      <c r="P327" s="370">
        <v>1</v>
      </c>
      <c r="Q327" s="370">
        <f t="shared" si="174"/>
        <v>4.3999999999999997E-2</v>
      </c>
      <c r="R327" s="24">
        <v>1368000</v>
      </c>
      <c r="S327" s="15">
        <v>1789794</v>
      </c>
      <c r="T327" s="382">
        <v>325000</v>
      </c>
      <c r="U327" s="382">
        <f t="shared" si="176"/>
        <v>312829.4008</v>
      </c>
      <c r="V327" s="6" t="s">
        <v>117</v>
      </c>
      <c r="W327" s="22" t="s">
        <v>78</v>
      </c>
      <c r="X327" s="27">
        <v>0.8</v>
      </c>
      <c r="Y327" s="27" t="s">
        <v>118</v>
      </c>
      <c r="Z327" s="27"/>
      <c r="AA327" s="16"/>
      <c r="AB327" s="393">
        <f t="shared" si="177"/>
        <v>69494.399999999994</v>
      </c>
      <c r="AC327" s="17"/>
      <c r="AD327" s="15">
        <f t="shared" si="178"/>
        <v>1094.4000000000001</v>
      </c>
      <c r="AE327" s="10"/>
    </row>
    <row r="328" spans="1:31" s="38" customFormat="1" ht="15.75" customHeight="1">
      <c r="A328" s="6" t="s">
        <v>127</v>
      </c>
      <c r="B328" s="10" t="str">
        <f>VLOOKUP(A328,[1]Sheet1!$A:$B,2,0)</f>
        <v>MODI</v>
      </c>
      <c r="C328" s="32" t="s">
        <v>129</v>
      </c>
      <c r="D328" s="31">
        <v>130040670017658</v>
      </c>
      <c r="E328" s="6" t="s">
        <v>74</v>
      </c>
      <c r="F328" s="10" t="s">
        <v>75</v>
      </c>
      <c r="G328" s="39" t="s">
        <v>76</v>
      </c>
      <c r="H328" s="40">
        <v>2024</v>
      </c>
      <c r="I328" s="334">
        <v>7</v>
      </c>
      <c r="J328" s="338">
        <v>45608</v>
      </c>
      <c r="K328" s="240"/>
      <c r="L328" s="400">
        <v>4.3999999999999997E-2</v>
      </c>
      <c r="M328" s="400">
        <v>5.0799999999999998E-2</v>
      </c>
      <c r="N328" s="405">
        <v>6.7999999999999996E-3</v>
      </c>
      <c r="O328" s="371">
        <f t="shared" si="175"/>
        <v>0</v>
      </c>
      <c r="P328" s="370">
        <v>1</v>
      </c>
      <c r="Q328" s="370">
        <f t="shared" si="174"/>
        <v>4.3999999999999997E-2</v>
      </c>
      <c r="R328" s="24">
        <v>543216</v>
      </c>
      <c r="S328" s="15">
        <v>2333010</v>
      </c>
      <c r="T328" s="382">
        <v>325000</v>
      </c>
      <c r="U328" s="382">
        <f t="shared" si="176"/>
        <v>309135.53200000001</v>
      </c>
      <c r="V328" s="6" t="s">
        <v>117</v>
      </c>
      <c r="W328" s="22" t="s">
        <v>78</v>
      </c>
      <c r="X328" s="27">
        <v>0.8</v>
      </c>
      <c r="Y328" s="27" t="s">
        <v>118</v>
      </c>
      <c r="Z328" s="27"/>
      <c r="AA328" s="16"/>
      <c r="AB328" s="393">
        <f t="shared" si="177"/>
        <v>27595.372799999997</v>
      </c>
      <c r="AC328" s="17"/>
      <c r="AD328" s="15">
        <f t="shared" si="178"/>
        <v>434.57280000000003</v>
      </c>
      <c r="AE328" s="10"/>
    </row>
    <row r="329" spans="1:31" s="38" customFormat="1" ht="15.75" customHeight="1">
      <c r="A329" s="6" t="s">
        <v>127</v>
      </c>
      <c r="B329" s="10" t="str">
        <f>VLOOKUP(A329,[1]Sheet1!$A:$B,2,0)</f>
        <v>MODI</v>
      </c>
      <c r="C329" s="32" t="s">
        <v>129</v>
      </c>
      <c r="D329" s="31">
        <v>130040670017658</v>
      </c>
      <c r="E329" s="6" t="s">
        <v>74</v>
      </c>
      <c r="F329" s="10" t="s">
        <v>75</v>
      </c>
      <c r="G329" s="39" t="s">
        <v>76</v>
      </c>
      <c r="H329" s="40">
        <v>2024</v>
      </c>
      <c r="I329" s="334">
        <v>8</v>
      </c>
      <c r="J329" s="338">
        <v>45608</v>
      </c>
      <c r="K329" s="240"/>
      <c r="L329" s="400">
        <v>4.3999999999999997E-2</v>
      </c>
      <c r="M329" s="400">
        <v>5.0799999999999998E-2</v>
      </c>
      <c r="N329" s="405">
        <v>6.7999999999999996E-3</v>
      </c>
      <c r="O329" s="371">
        <f t="shared" si="175"/>
        <v>0</v>
      </c>
      <c r="P329" s="370">
        <v>1</v>
      </c>
      <c r="Q329" s="370">
        <f t="shared" si="174"/>
        <v>4.3999999999999997E-2</v>
      </c>
      <c r="R329" s="24">
        <v>0</v>
      </c>
      <c r="S329" s="15">
        <v>2333010</v>
      </c>
      <c r="T329" s="382">
        <v>325000</v>
      </c>
      <c r="U329" s="382">
        <f t="shared" si="176"/>
        <v>309135.53200000001</v>
      </c>
      <c r="V329" s="6" t="s">
        <v>117</v>
      </c>
      <c r="W329" s="22" t="s">
        <v>78</v>
      </c>
      <c r="X329" s="27">
        <v>0.8</v>
      </c>
      <c r="Y329" s="27" t="s">
        <v>118</v>
      </c>
      <c r="Z329" s="27"/>
      <c r="AA329" s="16"/>
      <c r="AB329" s="393">
        <f t="shared" si="177"/>
        <v>0</v>
      </c>
      <c r="AC329" s="17"/>
      <c r="AD329" s="15">
        <f t="shared" si="178"/>
        <v>0</v>
      </c>
      <c r="AE329" s="10"/>
    </row>
    <row r="330" spans="1:31" s="38" customFormat="1" ht="15.75" customHeight="1">
      <c r="A330" s="6" t="s">
        <v>130</v>
      </c>
      <c r="B330" s="10" t="str">
        <f>VLOOKUP(A330,[1]Sheet1!$A:$B,2,0)</f>
        <v>MODI</v>
      </c>
      <c r="C330" s="32" t="s">
        <v>100</v>
      </c>
      <c r="D330" s="31">
        <v>130040670023444</v>
      </c>
      <c r="E330" s="6" t="s">
        <v>74</v>
      </c>
      <c r="F330" s="10" t="s">
        <v>75</v>
      </c>
      <c r="G330" s="39" t="s">
        <v>76</v>
      </c>
      <c r="H330" s="40">
        <v>2024</v>
      </c>
      <c r="I330" s="334">
        <v>4</v>
      </c>
      <c r="J330" s="338">
        <v>45608</v>
      </c>
      <c r="K330" s="240"/>
      <c r="L330" s="400">
        <v>0.7006</v>
      </c>
      <c r="M330" s="400">
        <v>0.7419</v>
      </c>
      <c r="N330" s="405">
        <v>4.1300000000000003E-2</v>
      </c>
      <c r="O330" s="371">
        <f t="shared" si="175"/>
        <v>0</v>
      </c>
      <c r="P330" s="370">
        <v>1</v>
      </c>
      <c r="Q330" s="370">
        <f t="shared" ref="Q330:Q393" si="179">P330*L330</f>
        <v>0.7006</v>
      </c>
      <c r="R330" s="24">
        <v>303520</v>
      </c>
      <c r="S330" s="24">
        <v>303520</v>
      </c>
      <c r="T330" s="382">
        <v>1980000</v>
      </c>
      <c r="U330" s="382">
        <f t="shared" si="176"/>
        <v>1967464.6240000001</v>
      </c>
      <c r="V330" s="6" t="s">
        <v>88</v>
      </c>
      <c r="W330" s="22" t="s">
        <v>78</v>
      </c>
      <c r="X330" s="27">
        <v>10.1</v>
      </c>
      <c r="Y330" s="27" t="s">
        <v>79</v>
      </c>
      <c r="Z330" s="27"/>
      <c r="AA330" s="16"/>
      <c r="AB330" s="393">
        <f t="shared" si="177"/>
        <v>225181.48800000001</v>
      </c>
      <c r="AC330" s="17"/>
      <c r="AD330" s="15">
        <f t="shared" si="178"/>
        <v>3065.5520000000001</v>
      </c>
      <c r="AE330" s="10"/>
    </row>
    <row r="331" spans="1:31" s="38" customFormat="1" ht="15.75" customHeight="1">
      <c r="A331" s="6" t="s">
        <v>130</v>
      </c>
      <c r="B331" s="10" t="str">
        <f>VLOOKUP(A331,[1]Sheet1!$A:$B,2,0)</f>
        <v>MODI</v>
      </c>
      <c r="C331" s="32" t="s">
        <v>100</v>
      </c>
      <c r="D331" s="31">
        <v>130040670023444</v>
      </c>
      <c r="E331" s="6" t="s">
        <v>74</v>
      </c>
      <c r="F331" s="10" t="s">
        <v>75</v>
      </c>
      <c r="G331" s="39" t="s">
        <v>76</v>
      </c>
      <c r="H331" s="40">
        <v>2024</v>
      </c>
      <c r="I331" s="334">
        <v>5</v>
      </c>
      <c r="J331" s="338">
        <v>45608</v>
      </c>
      <c r="K331" s="240"/>
      <c r="L331" s="400">
        <v>0.7006</v>
      </c>
      <c r="M331" s="400">
        <v>0.7419</v>
      </c>
      <c r="N331" s="405">
        <v>4.1300000000000003E-2</v>
      </c>
      <c r="O331" s="371">
        <f t="shared" si="175"/>
        <v>0</v>
      </c>
      <c r="P331" s="370">
        <v>1</v>
      </c>
      <c r="Q331" s="370">
        <f t="shared" si="179"/>
        <v>0.7006</v>
      </c>
      <c r="R331" s="24">
        <v>2135833</v>
      </c>
      <c r="S331" s="15">
        <v>2439353</v>
      </c>
      <c r="T331" s="382">
        <v>1980000</v>
      </c>
      <c r="U331" s="382">
        <f t="shared" si="176"/>
        <v>1879254.7211</v>
      </c>
      <c r="V331" s="6" t="s">
        <v>88</v>
      </c>
      <c r="W331" s="22" t="s">
        <v>78</v>
      </c>
      <c r="X331" s="27">
        <v>10.1</v>
      </c>
      <c r="Y331" s="27" t="s">
        <v>79</v>
      </c>
      <c r="Z331" s="27"/>
      <c r="AA331" s="16"/>
      <c r="AB331" s="393">
        <f t="shared" si="177"/>
        <v>1584574.5027000001</v>
      </c>
      <c r="AC331" s="17"/>
      <c r="AD331" s="15">
        <f t="shared" si="178"/>
        <v>21571.9133</v>
      </c>
      <c r="AE331" s="10"/>
    </row>
    <row r="332" spans="1:31" s="38" customFormat="1" ht="15.75" customHeight="1">
      <c r="A332" s="6" t="s">
        <v>130</v>
      </c>
      <c r="B332" s="10" t="str">
        <f>VLOOKUP(A332,[1]Sheet1!$A:$B,2,0)</f>
        <v>MODI</v>
      </c>
      <c r="C332" s="32" t="s">
        <v>100</v>
      </c>
      <c r="D332" s="31">
        <v>130040670023444</v>
      </c>
      <c r="E332" s="6" t="s">
        <v>74</v>
      </c>
      <c r="F332" s="10" t="s">
        <v>75</v>
      </c>
      <c r="G332" s="39" t="s">
        <v>76</v>
      </c>
      <c r="H332" s="40">
        <v>2024</v>
      </c>
      <c r="I332" s="334">
        <v>6</v>
      </c>
      <c r="J332" s="338">
        <v>45608</v>
      </c>
      <c r="K332" s="240"/>
      <c r="L332" s="400">
        <v>0.7006</v>
      </c>
      <c r="M332" s="400">
        <v>0.7419</v>
      </c>
      <c r="N332" s="405">
        <v>4.1300000000000003E-2</v>
      </c>
      <c r="O332" s="371">
        <f t="shared" si="175"/>
        <v>0</v>
      </c>
      <c r="P332" s="370">
        <v>1</v>
      </c>
      <c r="Q332" s="370">
        <f t="shared" si="179"/>
        <v>0.7006</v>
      </c>
      <c r="R332" s="24">
        <v>1831589</v>
      </c>
      <c r="S332" s="15">
        <v>4270942</v>
      </c>
      <c r="T332" s="382">
        <v>1980000</v>
      </c>
      <c r="U332" s="382">
        <f t="shared" si="176"/>
        <v>1803610.0954</v>
      </c>
      <c r="V332" s="6" t="s">
        <v>88</v>
      </c>
      <c r="W332" s="22" t="s">
        <v>78</v>
      </c>
      <c r="X332" s="27">
        <v>10.1</v>
      </c>
      <c r="Y332" s="27" t="s">
        <v>79</v>
      </c>
      <c r="Z332" s="27"/>
      <c r="AA332" s="16"/>
      <c r="AB332" s="393">
        <f t="shared" si="177"/>
        <v>1358855.8791</v>
      </c>
      <c r="AC332" s="17"/>
      <c r="AD332" s="15">
        <f t="shared" si="178"/>
        <v>18499.048899999998</v>
      </c>
      <c r="AE332" s="10"/>
    </row>
    <row r="333" spans="1:31" s="38" customFormat="1" ht="15.75" customHeight="1">
      <c r="A333" s="6" t="s">
        <v>130</v>
      </c>
      <c r="B333" s="10" t="str">
        <f>VLOOKUP(A333,[1]Sheet1!$A:$B,2,0)</f>
        <v>MODI</v>
      </c>
      <c r="C333" s="32" t="s">
        <v>100</v>
      </c>
      <c r="D333" s="31">
        <v>130040670023444</v>
      </c>
      <c r="E333" s="6" t="s">
        <v>74</v>
      </c>
      <c r="F333" s="10" t="s">
        <v>75</v>
      </c>
      <c r="G333" s="39" t="s">
        <v>76</v>
      </c>
      <c r="H333" s="40">
        <v>2024</v>
      </c>
      <c r="I333" s="334">
        <v>7</v>
      </c>
      <c r="J333" s="338">
        <v>45608</v>
      </c>
      <c r="K333" s="240"/>
      <c r="L333" s="400">
        <v>0.7006</v>
      </c>
      <c r="M333" s="400">
        <v>0.7419</v>
      </c>
      <c r="N333" s="405">
        <v>4.1300000000000003E-2</v>
      </c>
      <c r="O333" s="371">
        <f t="shared" ref="O333:O396" si="180">K333*N333</f>
        <v>0</v>
      </c>
      <c r="P333" s="370">
        <v>1</v>
      </c>
      <c r="Q333" s="370">
        <f t="shared" si="179"/>
        <v>0.7006</v>
      </c>
      <c r="R333" s="24">
        <v>2096154</v>
      </c>
      <c r="S333" s="15">
        <v>6367096</v>
      </c>
      <c r="T333" s="382">
        <v>1980000</v>
      </c>
      <c r="U333" s="382">
        <f t="shared" si="176"/>
        <v>1717038.9351999999</v>
      </c>
      <c r="V333" s="6" t="s">
        <v>88</v>
      </c>
      <c r="W333" s="22" t="s">
        <v>78</v>
      </c>
      <c r="X333" s="27">
        <v>10.1</v>
      </c>
      <c r="Y333" s="27" t="s">
        <v>79</v>
      </c>
      <c r="Z333" s="27"/>
      <c r="AA333" s="16"/>
      <c r="AB333" s="393">
        <f t="shared" si="177"/>
        <v>1555136.6525999999</v>
      </c>
      <c r="AC333" s="17"/>
      <c r="AD333" s="15">
        <f t="shared" si="178"/>
        <v>21171.1554</v>
      </c>
      <c r="AE333" s="10"/>
    </row>
    <row r="334" spans="1:31" s="38" customFormat="1" ht="15.75" customHeight="1">
      <c r="A334" s="6" t="s">
        <v>130</v>
      </c>
      <c r="B334" s="10" t="str">
        <f>VLOOKUP(A334,[1]Sheet1!$A:$B,2,0)</f>
        <v>MODI</v>
      </c>
      <c r="C334" s="32" t="s">
        <v>100</v>
      </c>
      <c r="D334" s="31">
        <v>130040670023444</v>
      </c>
      <c r="E334" s="6" t="s">
        <v>74</v>
      </c>
      <c r="F334" s="10" t="s">
        <v>75</v>
      </c>
      <c r="G334" s="39" t="s">
        <v>76</v>
      </c>
      <c r="H334" s="40">
        <v>2024</v>
      </c>
      <c r="I334" s="334">
        <v>8</v>
      </c>
      <c r="J334" s="338">
        <v>45608</v>
      </c>
      <c r="K334" s="240"/>
      <c r="L334" s="400">
        <v>0.7006</v>
      </c>
      <c r="M334" s="400">
        <v>0.7419</v>
      </c>
      <c r="N334" s="405">
        <v>4.1300000000000003E-2</v>
      </c>
      <c r="O334" s="371">
        <f t="shared" si="180"/>
        <v>0</v>
      </c>
      <c r="P334" s="370">
        <v>1</v>
      </c>
      <c r="Q334" s="370">
        <f t="shared" si="179"/>
        <v>0.7006</v>
      </c>
      <c r="R334" s="24">
        <v>1896168</v>
      </c>
      <c r="S334" s="15">
        <v>8263264</v>
      </c>
      <c r="T334" s="382">
        <v>1980000</v>
      </c>
      <c r="U334" s="382">
        <f t="shared" si="176"/>
        <v>1638727.1968</v>
      </c>
      <c r="V334" s="6" t="s">
        <v>88</v>
      </c>
      <c r="W334" s="22" t="s">
        <v>78</v>
      </c>
      <c r="X334" s="27">
        <v>10.1</v>
      </c>
      <c r="Y334" s="27" t="s">
        <v>79</v>
      </c>
      <c r="Z334" s="27"/>
      <c r="AA334" s="16"/>
      <c r="AB334" s="393">
        <f t="shared" si="177"/>
        <v>1406767.0392</v>
      </c>
      <c r="AC334" s="17"/>
      <c r="AD334" s="15">
        <f t="shared" si="178"/>
        <v>19151.2968</v>
      </c>
      <c r="AE334" s="10"/>
    </row>
    <row r="335" spans="1:31" s="38" customFormat="1" ht="15.75" customHeight="1">
      <c r="A335" s="6" t="s">
        <v>130</v>
      </c>
      <c r="B335" s="10" t="str">
        <f>VLOOKUP(A335,[1]Sheet1!$A:$B,2,0)</f>
        <v>MODI</v>
      </c>
      <c r="C335" s="32" t="s">
        <v>104</v>
      </c>
      <c r="D335" s="31">
        <v>130040670023445</v>
      </c>
      <c r="E335" s="6" t="s">
        <v>74</v>
      </c>
      <c r="F335" s="10" t="s">
        <v>131</v>
      </c>
      <c r="G335" s="39" t="s">
        <v>76</v>
      </c>
      <c r="H335" s="40">
        <v>2024</v>
      </c>
      <c r="I335" s="334">
        <v>4</v>
      </c>
      <c r="J335" s="338">
        <v>45608</v>
      </c>
      <c r="K335" s="240"/>
      <c r="L335" s="400">
        <v>9.5299999999999996E-2</v>
      </c>
      <c r="M335" s="400">
        <v>0.1072</v>
      </c>
      <c r="N335" s="405">
        <v>1.1900000000000001E-2</v>
      </c>
      <c r="O335" s="371">
        <f t="shared" si="180"/>
        <v>0</v>
      </c>
      <c r="P335" s="370">
        <v>1</v>
      </c>
      <c r="Q335" s="370">
        <f t="shared" si="179"/>
        <v>9.5299999999999996E-2</v>
      </c>
      <c r="R335" s="24">
        <v>749000</v>
      </c>
      <c r="S335" s="24">
        <v>749000</v>
      </c>
      <c r="T335" s="382">
        <v>570000</v>
      </c>
      <c r="U335" s="382">
        <f t="shared" si="176"/>
        <v>561086.9</v>
      </c>
      <c r="V335" s="6" t="s">
        <v>88</v>
      </c>
      <c r="W335" s="22" t="s">
        <v>78</v>
      </c>
      <c r="X335" s="27">
        <v>1.2</v>
      </c>
      <c r="Y335" s="27" t="s">
        <v>79</v>
      </c>
      <c r="Z335" s="27"/>
      <c r="AA335" s="16"/>
      <c r="AB335" s="393">
        <f t="shared" si="177"/>
        <v>80292.800000000003</v>
      </c>
      <c r="AC335" s="17"/>
      <c r="AD335" s="15">
        <f t="shared" si="178"/>
        <v>898.8</v>
      </c>
      <c r="AE335" s="10"/>
    </row>
    <row r="336" spans="1:31" s="38" customFormat="1" ht="15.75" customHeight="1">
      <c r="A336" s="6" t="s">
        <v>130</v>
      </c>
      <c r="B336" s="10" t="str">
        <f>VLOOKUP(A336,[1]Sheet1!$A:$B,2,0)</f>
        <v>MODI</v>
      </c>
      <c r="C336" s="32" t="s">
        <v>104</v>
      </c>
      <c r="D336" s="31">
        <v>130040670023445</v>
      </c>
      <c r="E336" s="6" t="s">
        <v>74</v>
      </c>
      <c r="F336" s="10" t="s">
        <v>131</v>
      </c>
      <c r="G336" s="39" t="s">
        <v>76</v>
      </c>
      <c r="H336" s="40">
        <v>2024</v>
      </c>
      <c r="I336" s="334">
        <v>5</v>
      </c>
      <c r="J336" s="338">
        <v>45608</v>
      </c>
      <c r="K336" s="240"/>
      <c r="L336" s="400">
        <v>9.5299999999999996E-2</v>
      </c>
      <c r="M336" s="400">
        <v>0.1072</v>
      </c>
      <c r="N336" s="405">
        <v>1.1900000000000001E-2</v>
      </c>
      <c r="O336" s="371">
        <f t="shared" si="180"/>
        <v>0</v>
      </c>
      <c r="P336" s="370">
        <v>1</v>
      </c>
      <c r="Q336" s="370">
        <f t="shared" si="179"/>
        <v>9.5299999999999996E-2</v>
      </c>
      <c r="R336" s="24">
        <v>1953000</v>
      </c>
      <c r="S336" s="15">
        <f>R336+S335</f>
        <v>2702000</v>
      </c>
      <c r="T336" s="382">
        <v>570000</v>
      </c>
      <c r="U336" s="382">
        <f t="shared" si="176"/>
        <v>537846.19999999995</v>
      </c>
      <c r="V336" s="6" t="s">
        <v>88</v>
      </c>
      <c r="W336" s="22" t="s">
        <v>78</v>
      </c>
      <c r="X336" s="27">
        <v>1.2</v>
      </c>
      <c r="Y336" s="27" t="s">
        <v>79</v>
      </c>
      <c r="Z336" s="27"/>
      <c r="AA336" s="16"/>
      <c r="AB336" s="393">
        <f t="shared" si="177"/>
        <v>209361.6</v>
      </c>
      <c r="AC336" s="17"/>
      <c r="AD336" s="15">
        <f t="shared" si="178"/>
        <v>2343.6</v>
      </c>
      <c r="AE336" s="10"/>
    </row>
    <row r="337" spans="1:31" s="38" customFormat="1" ht="15.75" customHeight="1">
      <c r="A337" s="6" t="s">
        <v>130</v>
      </c>
      <c r="B337" s="10" t="str">
        <f>VLOOKUP(A337,[1]Sheet1!$A:$B,2,0)</f>
        <v>MODI</v>
      </c>
      <c r="C337" s="32" t="s">
        <v>104</v>
      </c>
      <c r="D337" s="31">
        <v>130040670023445</v>
      </c>
      <c r="E337" s="6" t="s">
        <v>74</v>
      </c>
      <c r="F337" s="10" t="s">
        <v>131</v>
      </c>
      <c r="G337" s="39" t="s">
        <v>76</v>
      </c>
      <c r="H337" s="40">
        <v>2024</v>
      </c>
      <c r="I337" s="334">
        <v>6</v>
      </c>
      <c r="J337" s="338">
        <v>45608</v>
      </c>
      <c r="K337" s="240"/>
      <c r="L337" s="400">
        <v>9.5299999999999996E-2</v>
      </c>
      <c r="M337" s="400">
        <v>0.1072</v>
      </c>
      <c r="N337" s="405">
        <v>1.1900000000000001E-2</v>
      </c>
      <c r="O337" s="371">
        <f t="shared" si="180"/>
        <v>0</v>
      </c>
      <c r="P337" s="370">
        <v>1</v>
      </c>
      <c r="Q337" s="370">
        <f t="shared" si="179"/>
        <v>9.5299999999999996E-2</v>
      </c>
      <c r="R337" s="24">
        <v>1831760</v>
      </c>
      <c r="S337" s="15">
        <f>R337+S336</f>
        <v>4533760</v>
      </c>
      <c r="T337" s="382">
        <v>570000</v>
      </c>
      <c r="U337" s="382">
        <f t="shared" si="176"/>
        <v>516048.25599999999</v>
      </c>
      <c r="V337" s="6" t="s">
        <v>88</v>
      </c>
      <c r="W337" s="22" t="s">
        <v>78</v>
      </c>
      <c r="X337" s="27">
        <v>1.2</v>
      </c>
      <c r="Y337" s="27" t="s">
        <v>79</v>
      </c>
      <c r="Z337" s="27"/>
      <c r="AA337" s="16"/>
      <c r="AB337" s="393">
        <f t="shared" si="177"/>
        <v>196364.67200000002</v>
      </c>
      <c r="AC337" s="17"/>
      <c r="AD337" s="15">
        <f t="shared" si="178"/>
        <v>2198.1120000000001</v>
      </c>
      <c r="AE337" s="10"/>
    </row>
    <row r="338" spans="1:31" s="38" customFormat="1" ht="15.75" customHeight="1">
      <c r="A338" s="6" t="s">
        <v>130</v>
      </c>
      <c r="B338" s="10" t="str">
        <f>VLOOKUP(A338,[1]Sheet1!$A:$B,2,0)</f>
        <v>MODI</v>
      </c>
      <c r="C338" s="32" t="s">
        <v>104</v>
      </c>
      <c r="D338" s="31">
        <v>130040670023445</v>
      </c>
      <c r="E338" s="6" t="s">
        <v>74</v>
      </c>
      <c r="F338" s="10" t="s">
        <v>131</v>
      </c>
      <c r="G338" s="39" t="s">
        <v>76</v>
      </c>
      <c r="H338" s="40">
        <v>2024</v>
      </c>
      <c r="I338" s="334">
        <v>7</v>
      </c>
      <c r="J338" s="338">
        <v>45608</v>
      </c>
      <c r="K338" s="240"/>
      <c r="L338" s="400">
        <v>9.5299999999999996E-2</v>
      </c>
      <c r="M338" s="400">
        <v>0.1072</v>
      </c>
      <c r="N338" s="405">
        <v>1.1900000000000001E-2</v>
      </c>
      <c r="O338" s="371">
        <f t="shared" si="180"/>
        <v>0</v>
      </c>
      <c r="P338" s="370">
        <v>1</v>
      </c>
      <c r="Q338" s="370">
        <f t="shared" si="179"/>
        <v>9.5299999999999996E-2</v>
      </c>
      <c r="R338" s="24">
        <v>1947040</v>
      </c>
      <c r="S338" s="15">
        <f>R338+S337</f>
        <v>6480800</v>
      </c>
      <c r="T338" s="382">
        <v>570000</v>
      </c>
      <c r="U338" s="382">
        <f t="shared" si="176"/>
        <v>492878.48</v>
      </c>
      <c r="V338" s="6" t="s">
        <v>88</v>
      </c>
      <c r="W338" s="22" t="s">
        <v>78</v>
      </c>
      <c r="X338" s="27">
        <v>1.2</v>
      </c>
      <c r="Y338" s="27" t="s">
        <v>79</v>
      </c>
      <c r="Z338" s="27"/>
      <c r="AA338" s="16"/>
      <c r="AB338" s="393">
        <f t="shared" si="177"/>
        <v>208722.68799999999</v>
      </c>
      <c r="AC338" s="17"/>
      <c r="AD338" s="15">
        <f t="shared" si="178"/>
        <v>2336.4479999999999</v>
      </c>
      <c r="AE338" s="10"/>
    </row>
    <row r="339" spans="1:31" s="38" customFormat="1" ht="15.75" customHeight="1">
      <c r="A339" s="6" t="s">
        <v>130</v>
      </c>
      <c r="B339" s="10" t="str">
        <f>VLOOKUP(A339,[1]Sheet1!$A:$B,2,0)</f>
        <v>MODI</v>
      </c>
      <c r="C339" s="32" t="s">
        <v>104</v>
      </c>
      <c r="D339" s="31">
        <v>130040670023445</v>
      </c>
      <c r="E339" s="6" t="s">
        <v>74</v>
      </c>
      <c r="F339" s="10" t="s">
        <v>131</v>
      </c>
      <c r="G339" s="39" t="s">
        <v>76</v>
      </c>
      <c r="H339" s="40">
        <v>2024</v>
      </c>
      <c r="I339" s="334">
        <v>8</v>
      </c>
      <c r="J339" s="338">
        <v>45608</v>
      </c>
      <c r="K339" s="240"/>
      <c r="L339" s="400">
        <v>9.5299999999999996E-2</v>
      </c>
      <c r="M339" s="400">
        <v>0.1072</v>
      </c>
      <c r="N339" s="405">
        <v>1.1900000000000001E-2</v>
      </c>
      <c r="O339" s="371">
        <f t="shared" si="180"/>
        <v>0</v>
      </c>
      <c r="P339" s="370">
        <v>1</v>
      </c>
      <c r="Q339" s="370">
        <f t="shared" si="179"/>
        <v>9.5299999999999996E-2</v>
      </c>
      <c r="R339" s="24">
        <v>2009000</v>
      </c>
      <c r="S339" s="15">
        <f>R339+S338</f>
        <v>8489800</v>
      </c>
      <c r="T339" s="382">
        <v>570000</v>
      </c>
      <c r="U339" s="382">
        <f t="shared" si="176"/>
        <v>468971.38</v>
      </c>
      <c r="V339" s="6" t="s">
        <v>88</v>
      </c>
      <c r="W339" s="22" t="s">
        <v>78</v>
      </c>
      <c r="X339" s="27">
        <v>1.2</v>
      </c>
      <c r="Y339" s="27" t="s">
        <v>79</v>
      </c>
      <c r="Z339" s="27"/>
      <c r="AA339" s="16"/>
      <c r="AB339" s="393">
        <f t="shared" si="177"/>
        <v>215364.80000000002</v>
      </c>
      <c r="AC339" s="17"/>
      <c r="AD339" s="15">
        <f t="shared" si="178"/>
        <v>2410.8000000000002</v>
      </c>
      <c r="AE339" s="10"/>
    </row>
    <row r="340" spans="1:31" s="38" customFormat="1" ht="15.75" customHeight="1">
      <c r="A340" s="6" t="s">
        <v>130</v>
      </c>
      <c r="B340" s="10" t="str">
        <f>VLOOKUP(A340,[1]Sheet1!$A:$B,2,0)</f>
        <v>MODI</v>
      </c>
      <c r="C340" s="32" t="s">
        <v>108</v>
      </c>
      <c r="D340" s="31">
        <v>130040670023448</v>
      </c>
      <c r="E340" s="6" t="s">
        <v>74</v>
      </c>
      <c r="F340" s="10" t="s">
        <v>131</v>
      </c>
      <c r="G340" s="39" t="s">
        <v>76</v>
      </c>
      <c r="H340" s="40">
        <v>2024</v>
      </c>
      <c r="I340" s="334">
        <v>4</v>
      </c>
      <c r="J340" s="338">
        <v>45608</v>
      </c>
      <c r="K340" s="240"/>
      <c r="L340" s="400">
        <v>0.1056</v>
      </c>
      <c r="M340" s="400">
        <v>0.11840000000000001</v>
      </c>
      <c r="N340" s="405">
        <v>1.2800000000000001E-2</v>
      </c>
      <c r="O340" s="371">
        <f t="shared" si="180"/>
        <v>0</v>
      </c>
      <c r="P340" s="370">
        <v>1</v>
      </c>
      <c r="Q340" s="370">
        <f t="shared" si="179"/>
        <v>0.1056</v>
      </c>
      <c r="R340" s="24">
        <v>626500</v>
      </c>
      <c r="S340" s="24">
        <v>626500</v>
      </c>
      <c r="T340" s="382">
        <v>615000</v>
      </c>
      <c r="U340" s="382">
        <f t="shared" si="176"/>
        <v>606980.80000000005</v>
      </c>
      <c r="V340" s="6" t="s">
        <v>88</v>
      </c>
      <c r="W340" s="22" t="s">
        <v>78</v>
      </c>
      <c r="X340" s="27">
        <v>1.4</v>
      </c>
      <c r="Y340" s="27" t="s">
        <v>79</v>
      </c>
      <c r="Z340" s="27"/>
      <c r="AA340" s="16"/>
      <c r="AB340" s="393">
        <f t="shared" si="177"/>
        <v>74177.600000000006</v>
      </c>
      <c r="AC340" s="17"/>
      <c r="AD340" s="15">
        <f t="shared" si="178"/>
        <v>877.1</v>
      </c>
      <c r="AE340" s="10"/>
    </row>
    <row r="341" spans="1:31" s="38" customFormat="1" ht="15.75" customHeight="1">
      <c r="A341" s="6" t="s">
        <v>130</v>
      </c>
      <c r="B341" s="10" t="str">
        <f>VLOOKUP(A341,[1]Sheet1!$A:$B,2,0)</f>
        <v>MODI</v>
      </c>
      <c r="C341" s="32" t="s">
        <v>108</v>
      </c>
      <c r="D341" s="31">
        <v>130040670023448</v>
      </c>
      <c r="E341" s="6" t="s">
        <v>74</v>
      </c>
      <c r="F341" s="10" t="s">
        <v>131</v>
      </c>
      <c r="G341" s="39" t="s">
        <v>76</v>
      </c>
      <c r="H341" s="40">
        <v>2024</v>
      </c>
      <c r="I341" s="334">
        <v>5</v>
      </c>
      <c r="J341" s="338">
        <v>45608</v>
      </c>
      <c r="K341" s="240"/>
      <c r="L341" s="400">
        <v>0.1056</v>
      </c>
      <c r="M341" s="400">
        <v>0.11840000000000001</v>
      </c>
      <c r="N341" s="405">
        <v>1.2800000000000001E-2</v>
      </c>
      <c r="O341" s="371">
        <f t="shared" si="180"/>
        <v>0</v>
      </c>
      <c r="P341" s="370">
        <v>1</v>
      </c>
      <c r="Q341" s="370">
        <f t="shared" si="179"/>
        <v>0.1056</v>
      </c>
      <c r="R341" s="24">
        <v>1961562</v>
      </c>
      <c r="S341" s="15">
        <f>R341+S340</f>
        <v>2588062</v>
      </c>
      <c r="T341" s="382">
        <v>615000</v>
      </c>
      <c r="U341" s="382">
        <f t="shared" si="176"/>
        <v>581872.8064</v>
      </c>
      <c r="V341" s="6" t="s">
        <v>88</v>
      </c>
      <c r="W341" s="22" t="s">
        <v>78</v>
      </c>
      <c r="X341" s="27">
        <v>1.4</v>
      </c>
      <c r="Y341" s="27" t="s">
        <v>79</v>
      </c>
      <c r="Z341" s="27"/>
      <c r="AA341" s="16"/>
      <c r="AB341" s="393">
        <f t="shared" si="177"/>
        <v>232248.94080000001</v>
      </c>
      <c r="AC341" s="17"/>
      <c r="AD341" s="15">
        <f t="shared" si="178"/>
        <v>2746.1867999999999</v>
      </c>
      <c r="AE341" s="10"/>
    </row>
    <row r="342" spans="1:31" s="38" customFormat="1" ht="15.75" customHeight="1">
      <c r="A342" s="6" t="s">
        <v>130</v>
      </c>
      <c r="B342" s="10" t="str">
        <f>VLOOKUP(A342,[1]Sheet1!$A:$B,2,0)</f>
        <v>MODI</v>
      </c>
      <c r="C342" s="32" t="s">
        <v>108</v>
      </c>
      <c r="D342" s="31">
        <v>130040670023448</v>
      </c>
      <c r="E342" s="6" t="s">
        <v>74</v>
      </c>
      <c r="F342" s="10" t="s">
        <v>131</v>
      </c>
      <c r="G342" s="39" t="s">
        <v>76</v>
      </c>
      <c r="H342" s="40">
        <v>2024</v>
      </c>
      <c r="I342" s="334">
        <v>6</v>
      </c>
      <c r="J342" s="338">
        <v>45608</v>
      </c>
      <c r="K342" s="240"/>
      <c r="L342" s="400">
        <v>0.1056</v>
      </c>
      <c r="M342" s="400">
        <v>0.11840000000000001</v>
      </c>
      <c r="N342" s="405">
        <v>1.2800000000000001E-2</v>
      </c>
      <c r="O342" s="371">
        <f t="shared" si="180"/>
        <v>0</v>
      </c>
      <c r="P342" s="370">
        <v>1</v>
      </c>
      <c r="Q342" s="370">
        <f t="shared" si="179"/>
        <v>0.1056</v>
      </c>
      <c r="R342" s="24">
        <v>1732938</v>
      </c>
      <c r="S342" s="15">
        <f>R342+S341</f>
        <v>4321000</v>
      </c>
      <c r="T342" s="382">
        <v>615000</v>
      </c>
      <c r="U342" s="382">
        <f t="shared" si="176"/>
        <v>559691.19999999995</v>
      </c>
      <c r="V342" s="6" t="s">
        <v>88</v>
      </c>
      <c r="W342" s="22" t="s">
        <v>78</v>
      </c>
      <c r="X342" s="27">
        <v>1.4</v>
      </c>
      <c r="Y342" s="27" t="s">
        <v>79</v>
      </c>
      <c r="Z342" s="27"/>
      <c r="AA342" s="16"/>
      <c r="AB342" s="393">
        <f t="shared" si="177"/>
        <v>205179.85920000001</v>
      </c>
      <c r="AC342" s="17"/>
      <c r="AD342" s="15">
        <f t="shared" si="178"/>
        <v>2426.1131999999998</v>
      </c>
      <c r="AE342" s="10"/>
    </row>
    <row r="343" spans="1:31" s="38" customFormat="1" ht="15.75" customHeight="1">
      <c r="A343" s="6" t="s">
        <v>130</v>
      </c>
      <c r="B343" s="10" t="str">
        <f>VLOOKUP(A343,[1]Sheet1!$A:$B,2,0)</f>
        <v>MODI</v>
      </c>
      <c r="C343" s="32" t="s">
        <v>108</v>
      </c>
      <c r="D343" s="31">
        <v>130040670023448</v>
      </c>
      <c r="E343" s="6" t="s">
        <v>74</v>
      </c>
      <c r="F343" s="10" t="s">
        <v>131</v>
      </c>
      <c r="G343" s="39" t="s">
        <v>76</v>
      </c>
      <c r="H343" s="40">
        <v>2024</v>
      </c>
      <c r="I343" s="334">
        <v>7</v>
      </c>
      <c r="J343" s="338">
        <v>45608</v>
      </c>
      <c r="K343" s="240"/>
      <c r="L343" s="400">
        <v>0.1056</v>
      </c>
      <c r="M343" s="400">
        <v>0.11840000000000001</v>
      </c>
      <c r="N343" s="405">
        <v>1.2800000000000001E-2</v>
      </c>
      <c r="O343" s="371">
        <f t="shared" si="180"/>
        <v>0</v>
      </c>
      <c r="P343" s="370">
        <v>1</v>
      </c>
      <c r="Q343" s="370">
        <f t="shared" si="179"/>
        <v>0.1056</v>
      </c>
      <c r="R343" s="24">
        <v>1860000</v>
      </c>
      <c r="S343" s="15">
        <f>R343+S342</f>
        <v>6181000</v>
      </c>
      <c r="T343" s="382">
        <v>615000</v>
      </c>
      <c r="U343" s="382">
        <f t="shared" si="176"/>
        <v>535883.19999999995</v>
      </c>
      <c r="V343" s="6" t="s">
        <v>88</v>
      </c>
      <c r="W343" s="22" t="s">
        <v>78</v>
      </c>
      <c r="X343" s="27">
        <v>1.4</v>
      </c>
      <c r="Y343" s="27" t="s">
        <v>79</v>
      </c>
      <c r="Z343" s="27"/>
      <c r="AA343" s="16"/>
      <c r="AB343" s="393">
        <f t="shared" si="177"/>
        <v>220224</v>
      </c>
      <c r="AC343" s="17"/>
      <c r="AD343" s="15">
        <f t="shared" si="178"/>
        <v>2604</v>
      </c>
      <c r="AE343" s="10"/>
    </row>
    <row r="344" spans="1:31" s="38" customFormat="1" ht="15.75" customHeight="1">
      <c r="A344" s="6" t="s">
        <v>130</v>
      </c>
      <c r="B344" s="10" t="str">
        <f>VLOOKUP(A344,[1]Sheet1!$A:$B,2,0)</f>
        <v>MODI</v>
      </c>
      <c r="C344" s="32" t="s">
        <v>108</v>
      </c>
      <c r="D344" s="31">
        <v>130040670023448</v>
      </c>
      <c r="E344" s="6" t="s">
        <v>74</v>
      </c>
      <c r="F344" s="10" t="s">
        <v>131</v>
      </c>
      <c r="G344" s="39" t="s">
        <v>76</v>
      </c>
      <c r="H344" s="40">
        <v>2024</v>
      </c>
      <c r="I344" s="334">
        <v>8</v>
      </c>
      <c r="J344" s="338">
        <v>45608</v>
      </c>
      <c r="K344" s="240"/>
      <c r="L344" s="400">
        <v>0.1056</v>
      </c>
      <c r="M344" s="400">
        <v>0.11840000000000001</v>
      </c>
      <c r="N344" s="405">
        <v>1.2800000000000001E-2</v>
      </c>
      <c r="O344" s="371">
        <f t="shared" si="180"/>
        <v>0</v>
      </c>
      <c r="P344" s="370">
        <v>1</v>
      </c>
      <c r="Q344" s="370">
        <f t="shared" si="179"/>
        <v>0.1056</v>
      </c>
      <c r="R344" s="24">
        <v>2124000</v>
      </c>
      <c r="S344" s="15">
        <f>R344+S343</f>
        <v>8305000</v>
      </c>
      <c r="T344" s="382">
        <v>615000</v>
      </c>
      <c r="U344" s="382">
        <f t="shared" si="176"/>
        <v>508696</v>
      </c>
      <c r="V344" s="6" t="s">
        <v>88</v>
      </c>
      <c r="W344" s="22" t="s">
        <v>78</v>
      </c>
      <c r="X344" s="27">
        <v>1.4</v>
      </c>
      <c r="Y344" s="27" t="s">
        <v>79</v>
      </c>
      <c r="Z344" s="27"/>
      <c r="AA344" s="16"/>
      <c r="AB344" s="393">
        <f t="shared" si="177"/>
        <v>251481.60000000001</v>
      </c>
      <c r="AC344" s="17"/>
      <c r="AD344" s="15">
        <f t="shared" si="178"/>
        <v>2973.6</v>
      </c>
      <c r="AE344" s="10"/>
    </row>
    <row r="345" spans="1:31" s="38" customFormat="1" ht="15.75" customHeight="1">
      <c r="A345" s="6" t="s">
        <v>130</v>
      </c>
      <c r="B345" s="10" t="str">
        <f>VLOOKUP(A345,[1]Sheet1!$A:$B,2,0)</f>
        <v>MODI</v>
      </c>
      <c r="C345" s="32" t="s">
        <v>114</v>
      </c>
      <c r="D345" s="31">
        <v>130040670023440</v>
      </c>
      <c r="E345" s="6" t="s">
        <v>74</v>
      </c>
      <c r="F345" s="10" t="s">
        <v>131</v>
      </c>
      <c r="G345" s="39" t="s">
        <v>76</v>
      </c>
      <c r="H345" s="40">
        <v>2024</v>
      </c>
      <c r="I345" s="334">
        <v>4</v>
      </c>
      <c r="J345" s="338">
        <v>45608</v>
      </c>
      <c r="K345" s="240"/>
      <c r="L345" s="400">
        <v>0.12970000000000001</v>
      </c>
      <c r="M345" s="400">
        <v>0.15260000000000001</v>
      </c>
      <c r="N345" s="405">
        <v>2.29E-2</v>
      </c>
      <c r="O345" s="371">
        <f t="shared" si="180"/>
        <v>0</v>
      </c>
      <c r="P345" s="370">
        <v>1</v>
      </c>
      <c r="Q345" s="370">
        <f t="shared" si="179"/>
        <v>0.12970000000000001</v>
      </c>
      <c r="R345" s="24">
        <v>115100</v>
      </c>
      <c r="S345" s="24">
        <v>115100</v>
      </c>
      <c r="T345" s="382">
        <v>1100000</v>
      </c>
      <c r="U345" s="382">
        <f t="shared" si="176"/>
        <v>1097364.21</v>
      </c>
      <c r="V345" s="6" t="s">
        <v>115</v>
      </c>
      <c r="W345" s="22" t="s">
        <v>78</v>
      </c>
      <c r="X345" s="27">
        <v>2.4</v>
      </c>
      <c r="Y345" s="27" t="s">
        <v>93</v>
      </c>
      <c r="Z345" s="27"/>
      <c r="AA345" s="16"/>
      <c r="AB345" s="393">
        <f t="shared" si="177"/>
        <v>17564.260000000002</v>
      </c>
      <c r="AC345" s="17"/>
      <c r="AD345" s="15">
        <f t="shared" si="178"/>
        <v>276.24</v>
      </c>
      <c r="AE345" s="10"/>
    </row>
    <row r="346" spans="1:31" s="38" customFormat="1" ht="15.75" customHeight="1">
      <c r="A346" s="6" t="s">
        <v>130</v>
      </c>
      <c r="B346" s="10" t="str">
        <f>VLOOKUP(A346,[1]Sheet1!$A:$B,2,0)</f>
        <v>MODI</v>
      </c>
      <c r="C346" s="32" t="s">
        <v>114</v>
      </c>
      <c r="D346" s="31">
        <v>130040670023440</v>
      </c>
      <c r="E346" s="6" t="s">
        <v>74</v>
      </c>
      <c r="F346" s="10" t="s">
        <v>131</v>
      </c>
      <c r="G346" s="39" t="s">
        <v>76</v>
      </c>
      <c r="H346" s="40">
        <v>2024</v>
      </c>
      <c r="I346" s="334">
        <v>5</v>
      </c>
      <c r="J346" s="338">
        <v>45608</v>
      </c>
      <c r="K346" s="240"/>
      <c r="L346" s="400">
        <v>0.12970000000000001</v>
      </c>
      <c r="M346" s="400">
        <v>0.15260000000000001</v>
      </c>
      <c r="N346" s="405">
        <v>2.29E-2</v>
      </c>
      <c r="O346" s="371">
        <f t="shared" si="180"/>
        <v>0</v>
      </c>
      <c r="P346" s="370">
        <v>1</v>
      </c>
      <c r="Q346" s="370">
        <f t="shared" si="179"/>
        <v>0.12970000000000001</v>
      </c>
      <c r="R346" s="24">
        <v>2710906</v>
      </c>
      <c r="S346" s="15">
        <f>R346+S345</f>
        <v>2826006</v>
      </c>
      <c r="T346" s="382">
        <v>1100000</v>
      </c>
      <c r="U346" s="382">
        <f t="shared" si="176"/>
        <v>1035284.4626</v>
      </c>
      <c r="V346" s="6" t="s">
        <v>115</v>
      </c>
      <c r="W346" s="22" t="s">
        <v>78</v>
      </c>
      <c r="X346" s="27">
        <v>2.4</v>
      </c>
      <c r="Y346" s="27" t="s">
        <v>93</v>
      </c>
      <c r="Z346" s="27"/>
      <c r="AA346" s="16"/>
      <c r="AB346" s="393">
        <f t="shared" si="177"/>
        <v>413684.25560000003</v>
      </c>
      <c r="AC346" s="17"/>
      <c r="AD346" s="15">
        <f t="shared" si="178"/>
        <v>6506.1743999999999</v>
      </c>
      <c r="AE346" s="10"/>
    </row>
    <row r="347" spans="1:31" s="38" customFormat="1" ht="15.75" customHeight="1">
      <c r="A347" s="6" t="s">
        <v>130</v>
      </c>
      <c r="B347" s="10" t="str">
        <f>VLOOKUP(A347,[1]Sheet1!$A:$B,2,0)</f>
        <v>MODI</v>
      </c>
      <c r="C347" s="32" t="s">
        <v>114</v>
      </c>
      <c r="D347" s="31">
        <v>130040670023440</v>
      </c>
      <c r="E347" s="6" t="s">
        <v>74</v>
      </c>
      <c r="F347" s="10" t="s">
        <v>131</v>
      </c>
      <c r="G347" s="39" t="s">
        <v>76</v>
      </c>
      <c r="H347" s="40">
        <v>2024</v>
      </c>
      <c r="I347" s="334">
        <v>6</v>
      </c>
      <c r="J347" s="338">
        <v>45608</v>
      </c>
      <c r="K347" s="240"/>
      <c r="L347" s="400">
        <v>0.12970000000000001</v>
      </c>
      <c r="M347" s="400">
        <v>0.15260000000000001</v>
      </c>
      <c r="N347" s="405">
        <v>2.29E-2</v>
      </c>
      <c r="O347" s="371">
        <f t="shared" si="180"/>
        <v>0</v>
      </c>
      <c r="P347" s="370">
        <v>1</v>
      </c>
      <c r="Q347" s="370">
        <f t="shared" si="179"/>
        <v>0.12970000000000001</v>
      </c>
      <c r="R347" s="24">
        <v>1977846</v>
      </c>
      <c r="S347" s="15">
        <f t="shared" ref="S347:S348" si="181">R347+S346</f>
        <v>4803852</v>
      </c>
      <c r="T347" s="382">
        <v>1100000</v>
      </c>
      <c r="U347" s="382">
        <f t="shared" si="176"/>
        <v>989991.7892</v>
      </c>
      <c r="V347" s="6" t="s">
        <v>115</v>
      </c>
      <c r="W347" s="22" t="s">
        <v>78</v>
      </c>
      <c r="X347" s="27">
        <v>2.4</v>
      </c>
      <c r="Y347" s="27" t="s">
        <v>93</v>
      </c>
      <c r="Z347" s="27"/>
      <c r="AA347" s="16"/>
      <c r="AB347" s="393">
        <f t="shared" si="177"/>
        <v>301819.29960000003</v>
      </c>
      <c r="AC347" s="17"/>
      <c r="AD347" s="15">
        <f t="shared" si="178"/>
        <v>4746.8303999999998</v>
      </c>
      <c r="AE347" s="10"/>
    </row>
    <row r="348" spans="1:31" s="38" customFormat="1" ht="15.75" customHeight="1">
      <c r="A348" s="6" t="s">
        <v>130</v>
      </c>
      <c r="B348" s="10" t="str">
        <f>VLOOKUP(A348,[1]Sheet1!$A:$B,2,0)</f>
        <v>MODI</v>
      </c>
      <c r="C348" s="32" t="s">
        <v>114</v>
      </c>
      <c r="D348" s="31">
        <v>130040670023440</v>
      </c>
      <c r="E348" s="6" t="s">
        <v>74</v>
      </c>
      <c r="F348" s="10" t="s">
        <v>131</v>
      </c>
      <c r="G348" s="39" t="s">
        <v>76</v>
      </c>
      <c r="H348" s="40">
        <v>2024</v>
      </c>
      <c r="I348" s="334">
        <v>7</v>
      </c>
      <c r="J348" s="338">
        <v>45608</v>
      </c>
      <c r="K348" s="240"/>
      <c r="L348" s="400">
        <v>0.12970000000000001</v>
      </c>
      <c r="M348" s="400">
        <v>0.15260000000000001</v>
      </c>
      <c r="N348" s="405">
        <v>2.29E-2</v>
      </c>
      <c r="O348" s="371">
        <f t="shared" si="180"/>
        <v>0</v>
      </c>
      <c r="P348" s="370">
        <v>1</v>
      </c>
      <c r="Q348" s="370">
        <f t="shared" si="179"/>
        <v>0.12970000000000001</v>
      </c>
      <c r="R348" s="341">
        <v>1785042</v>
      </c>
      <c r="S348" s="15">
        <f t="shared" si="181"/>
        <v>6588894</v>
      </c>
      <c r="T348" s="382">
        <v>1100000</v>
      </c>
      <c r="U348" s="382">
        <f t="shared" si="176"/>
        <v>949114.32740000007</v>
      </c>
      <c r="V348" s="6" t="s">
        <v>115</v>
      </c>
      <c r="W348" s="22" t="s">
        <v>78</v>
      </c>
      <c r="X348" s="27">
        <v>2.4</v>
      </c>
      <c r="Y348" s="27" t="s">
        <v>93</v>
      </c>
      <c r="Z348" s="27"/>
      <c r="AA348" s="16"/>
      <c r="AB348" s="393">
        <f t="shared" si="177"/>
        <v>272397.40920000005</v>
      </c>
      <c r="AC348" s="17"/>
      <c r="AD348" s="15">
        <f t="shared" si="178"/>
        <v>4284.1008000000002</v>
      </c>
      <c r="AE348" s="10"/>
    </row>
    <row r="349" spans="1:31" s="38" customFormat="1" ht="15.75" customHeight="1">
      <c r="A349" s="6" t="s">
        <v>130</v>
      </c>
      <c r="B349" s="10" t="str">
        <f>VLOOKUP(A349,[1]Sheet1!$A:$B,2,0)</f>
        <v>MODI</v>
      </c>
      <c r="C349" s="32" t="s">
        <v>114</v>
      </c>
      <c r="D349" s="31">
        <v>130040670023440</v>
      </c>
      <c r="E349" s="6" t="s">
        <v>74</v>
      </c>
      <c r="F349" s="10" t="s">
        <v>131</v>
      </c>
      <c r="G349" s="39" t="s">
        <v>76</v>
      </c>
      <c r="H349" s="40">
        <v>2024</v>
      </c>
      <c r="I349" s="334">
        <v>8</v>
      </c>
      <c r="J349" s="338">
        <v>45608</v>
      </c>
      <c r="K349" s="240"/>
      <c r="L349" s="400">
        <v>0.12970000000000001</v>
      </c>
      <c r="M349" s="400">
        <v>0.15260000000000001</v>
      </c>
      <c r="N349" s="405">
        <v>2.29E-2</v>
      </c>
      <c r="O349" s="371">
        <f t="shared" si="180"/>
        <v>0</v>
      </c>
      <c r="P349" s="370">
        <v>1</v>
      </c>
      <c r="Q349" s="370">
        <f t="shared" si="179"/>
        <v>0.12970000000000001</v>
      </c>
      <c r="R349" s="24">
        <v>1911601</v>
      </c>
      <c r="S349" s="15">
        <f>R349+S348</f>
        <v>8500495</v>
      </c>
      <c r="T349" s="382">
        <v>1100000</v>
      </c>
      <c r="U349" s="382">
        <f t="shared" si="176"/>
        <v>905338.66449999996</v>
      </c>
      <c r="V349" s="6" t="s">
        <v>115</v>
      </c>
      <c r="W349" s="22" t="s">
        <v>78</v>
      </c>
      <c r="X349" s="27">
        <v>2.4</v>
      </c>
      <c r="Y349" s="27" t="s">
        <v>93</v>
      </c>
      <c r="Z349" s="27"/>
      <c r="AA349" s="16"/>
      <c r="AB349" s="393">
        <f t="shared" si="177"/>
        <v>291710.3126</v>
      </c>
      <c r="AC349" s="17"/>
      <c r="AD349" s="15">
        <f t="shared" si="178"/>
        <v>4587.8423999999995</v>
      </c>
      <c r="AE349" s="10"/>
    </row>
    <row r="350" spans="1:31" s="38" customFormat="1" ht="15.75" customHeight="1">
      <c r="A350" s="6" t="s">
        <v>130</v>
      </c>
      <c r="B350" s="10" t="str">
        <f>VLOOKUP(A350,[1]Sheet1!$A:$B,2,0)</f>
        <v>MODI</v>
      </c>
      <c r="C350" s="32" t="s">
        <v>111</v>
      </c>
      <c r="D350" s="31">
        <v>130040670023442</v>
      </c>
      <c r="E350" s="6" t="s">
        <v>74</v>
      </c>
      <c r="F350" s="10" t="s">
        <v>131</v>
      </c>
      <c r="G350" s="39" t="s">
        <v>76</v>
      </c>
      <c r="H350" s="40">
        <v>2024</v>
      </c>
      <c r="I350" s="334">
        <v>4</v>
      </c>
      <c r="J350" s="338">
        <v>45608</v>
      </c>
      <c r="K350" s="240"/>
      <c r="L350" s="400">
        <v>0.1135</v>
      </c>
      <c r="M350" s="400">
        <v>0.1343</v>
      </c>
      <c r="N350" s="405">
        <v>2.0799999999999999E-2</v>
      </c>
      <c r="O350" s="371">
        <f t="shared" si="180"/>
        <v>0</v>
      </c>
      <c r="P350" s="370">
        <v>1</v>
      </c>
      <c r="Q350" s="370">
        <f t="shared" si="179"/>
        <v>0.1135</v>
      </c>
      <c r="R350" s="24">
        <v>125572</v>
      </c>
      <c r="S350" s="24">
        <v>125572</v>
      </c>
      <c r="T350" s="382">
        <v>999000</v>
      </c>
      <c r="U350" s="382">
        <f t="shared" si="176"/>
        <v>996388.10239999997</v>
      </c>
      <c r="V350" s="6" t="s">
        <v>115</v>
      </c>
      <c r="W350" s="22" t="s">
        <v>78</v>
      </c>
      <c r="X350" s="27">
        <v>1.8</v>
      </c>
      <c r="Y350" s="27" t="s">
        <v>93</v>
      </c>
      <c r="Z350" s="27"/>
      <c r="AA350" s="16"/>
      <c r="AB350" s="393">
        <f t="shared" si="177"/>
        <v>16864.319599999999</v>
      </c>
      <c r="AC350" s="17"/>
      <c r="AD350" s="15">
        <f t="shared" si="178"/>
        <v>226.02960000000002</v>
      </c>
      <c r="AE350" s="10"/>
    </row>
    <row r="351" spans="1:31" s="38" customFormat="1" ht="15.75" customHeight="1">
      <c r="A351" s="6" t="s">
        <v>130</v>
      </c>
      <c r="B351" s="10" t="str">
        <f>VLOOKUP(A351,[1]Sheet1!$A:$B,2,0)</f>
        <v>MODI</v>
      </c>
      <c r="C351" s="32" t="s">
        <v>111</v>
      </c>
      <c r="D351" s="31">
        <v>130040670023442</v>
      </c>
      <c r="E351" s="6" t="s">
        <v>74</v>
      </c>
      <c r="F351" s="10" t="s">
        <v>131</v>
      </c>
      <c r="G351" s="39" t="s">
        <v>76</v>
      </c>
      <c r="H351" s="40">
        <v>2024</v>
      </c>
      <c r="I351" s="334">
        <v>5</v>
      </c>
      <c r="J351" s="338">
        <v>45608</v>
      </c>
      <c r="K351" s="240"/>
      <c r="L351" s="400">
        <v>0.1135</v>
      </c>
      <c r="M351" s="400">
        <v>0.1343</v>
      </c>
      <c r="N351" s="405">
        <v>2.0799999999999999E-2</v>
      </c>
      <c r="O351" s="371">
        <f t="shared" si="180"/>
        <v>0</v>
      </c>
      <c r="P351" s="370">
        <v>1</v>
      </c>
      <c r="Q351" s="370">
        <f t="shared" si="179"/>
        <v>0.1135</v>
      </c>
      <c r="R351" s="24">
        <v>2103465</v>
      </c>
      <c r="S351" s="15">
        <f>R351+S350</f>
        <v>2229037</v>
      </c>
      <c r="T351" s="382">
        <v>999000</v>
      </c>
      <c r="U351" s="382">
        <f t="shared" si="176"/>
        <v>952636.03040000005</v>
      </c>
      <c r="V351" s="6" t="s">
        <v>115</v>
      </c>
      <c r="W351" s="22" t="s">
        <v>78</v>
      </c>
      <c r="X351" s="27">
        <v>1.8</v>
      </c>
      <c r="Y351" s="27" t="s">
        <v>93</v>
      </c>
      <c r="Z351" s="27"/>
      <c r="AA351" s="16"/>
      <c r="AB351" s="393">
        <f t="shared" si="177"/>
        <v>282495.34950000001</v>
      </c>
      <c r="AC351" s="17"/>
      <c r="AD351" s="15">
        <f t="shared" si="178"/>
        <v>3786.2370000000001</v>
      </c>
      <c r="AE351" s="10"/>
    </row>
    <row r="352" spans="1:31" s="38" customFormat="1" ht="15.75" customHeight="1">
      <c r="A352" s="6" t="s">
        <v>130</v>
      </c>
      <c r="B352" s="10" t="str">
        <f>VLOOKUP(A352,[1]Sheet1!$A:$B,2,0)</f>
        <v>MODI</v>
      </c>
      <c r="C352" s="32" t="s">
        <v>111</v>
      </c>
      <c r="D352" s="31">
        <v>130040670023442</v>
      </c>
      <c r="E352" s="6" t="s">
        <v>74</v>
      </c>
      <c r="F352" s="10" t="s">
        <v>131</v>
      </c>
      <c r="G352" s="39" t="s">
        <v>76</v>
      </c>
      <c r="H352" s="40">
        <v>2024</v>
      </c>
      <c r="I352" s="334">
        <v>6</v>
      </c>
      <c r="J352" s="338">
        <v>45608</v>
      </c>
      <c r="K352" s="240"/>
      <c r="L352" s="400">
        <v>0.1135</v>
      </c>
      <c r="M352" s="400">
        <v>0.1343</v>
      </c>
      <c r="N352" s="405">
        <v>2.0799999999999999E-2</v>
      </c>
      <c r="O352" s="371">
        <f t="shared" si="180"/>
        <v>0</v>
      </c>
      <c r="P352" s="370">
        <v>1</v>
      </c>
      <c r="Q352" s="370">
        <f t="shared" si="179"/>
        <v>0.1135</v>
      </c>
      <c r="R352" s="24">
        <v>2480017</v>
      </c>
      <c r="S352" s="15">
        <f>R352+S351</f>
        <v>4709054</v>
      </c>
      <c r="T352" s="382">
        <v>999000</v>
      </c>
      <c r="U352" s="382">
        <f t="shared" si="176"/>
        <v>901051.67680000002</v>
      </c>
      <c r="V352" s="6" t="s">
        <v>115</v>
      </c>
      <c r="W352" s="22" t="s">
        <v>78</v>
      </c>
      <c r="X352" s="27">
        <v>1.8</v>
      </c>
      <c r="Y352" s="27" t="s">
        <v>93</v>
      </c>
      <c r="Z352" s="27"/>
      <c r="AA352" s="16"/>
      <c r="AB352" s="393">
        <f t="shared" si="177"/>
        <v>333066.2831</v>
      </c>
      <c r="AC352" s="17"/>
      <c r="AD352" s="15">
        <f t="shared" si="178"/>
        <v>4464.030600000001</v>
      </c>
      <c r="AE352" s="10"/>
    </row>
    <row r="353" spans="1:31" s="38" customFormat="1" ht="15.75" customHeight="1">
      <c r="A353" s="6" t="s">
        <v>130</v>
      </c>
      <c r="B353" s="10" t="str">
        <f>VLOOKUP(A353,[1]Sheet1!$A:$B,2,0)</f>
        <v>MODI</v>
      </c>
      <c r="C353" s="32" t="s">
        <v>111</v>
      </c>
      <c r="D353" s="31">
        <v>130040670023442</v>
      </c>
      <c r="E353" s="6" t="s">
        <v>74</v>
      </c>
      <c r="F353" s="10" t="s">
        <v>131</v>
      </c>
      <c r="G353" s="39" t="s">
        <v>76</v>
      </c>
      <c r="H353" s="40">
        <v>2024</v>
      </c>
      <c r="I353" s="334">
        <v>7</v>
      </c>
      <c r="J353" s="338">
        <v>45608</v>
      </c>
      <c r="K353" s="240"/>
      <c r="L353" s="400">
        <v>0.1135</v>
      </c>
      <c r="M353" s="400">
        <v>0.1343</v>
      </c>
      <c r="N353" s="405">
        <v>2.0799999999999999E-2</v>
      </c>
      <c r="O353" s="371">
        <f t="shared" si="180"/>
        <v>0</v>
      </c>
      <c r="P353" s="370">
        <v>1</v>
      </c>
      <c r="Q353" s="370">
        <f t="shared" si="179"/>
        <v>0.1135</v>
      </c>
      <c r="R353" s="24">
        <v>1796955</v>
      </c>
      <c r="S353" s="15">
        <f>R353+S352</f>
        <v>6506009</v>
      </c>
      <c r="T353" s="382">
        <v>999000</v>
      </c>
      <c r="U353" s="382">
        <f t="shared" si="176"/>
        <v>863675.01280000003</v>
      </c>
      <c r="V353" s="6" t="s">
        <v>115</v>
      </c>
      <c r="W353" s="22" t="s">
        <v>78</v>
      </c>
      <c r="X353" s="27">
        <v>1.8</v>
      </c>
      <c r="Y353" s="27" t="s">
        <v>93</v>
      </c>
      <c r="Z353" s="27"/>
      <c r="AA353" s="16"/>
      <c r="AB353" s="393">
        <f t="shared" si="177"/>
        <v>241331.05650000001</v>
      </c>
      <c r="AC353" s="17"/>
      <c r="AD353" s="15">
        <f t="shared" si="178"/>
        <v>3234.5189999999998</v>
      </c>
      <c r="AE353" s="10"/>
    </row>
    <row r="354" spans="1:31" s="38" customFormat="1" ht="15.75" customHeight="1">
      <c r="A354" s="6" t="s">
        <v>130</v>
      </c>
      <c r="B354" s="10" t="str">
        <f>VLOOKUP(A354,[1]Sheet1!$A:$B,2,0)</f>
        <v>MODI</v>
      </c>
      <c r="C354" s="32" t="s">
        <v>111</v>
      </c>
      <c r="D354" s="31">
        <v>130040670023442</v>
      </c>
      <c r="E354" s="6" t="s">
        <v>74</v>
      </c>
      <c r="F354" s="10" t="s">
        <v>131</v>
      </c>
      <c r="G354" s="39" t="s">
        <v>76</v>
      </c>
      <c r="H354" s="40">
        <v>2024</v>
      </c>
      <c r="I354" s="334">
        <v>8</v>
      </c>
      <c r="J354" s="338">
        <v>45608</v>
      </c>
      <c r="K354" s="240"/>
      <c r="L354" s="400">
        <v>0.1135</v>
      </c>
      <c r="M354" s="400">
        <v>0.1343</v>
      </c>
      <c r="N354" s="405">
        <v>2.0799999999999999E-2</v>
      </c>
      <c r="O354" s="371">
        <f t="shared" si="180"/>
        <v>0</v>
      </c>
      <c r="P354" s="370">
        <v>1</v>
      </c>
      <c r="Q354" s="370">
        <f t="shared" si="179"/>
        <v>0.1135</v>
      </c>
      <c r="R354" s="24">
        <v>2009961</v>
      </c>
      <c r="S354" s="15">
        <f>R354+S353</f>
        <v>8515970</v>
      </c>
      <c r="T354" s="382">
        <v>999000</v>
      </c>
      <c r="U354" s="382">
        <f t="shared" si="176"/>
        <v>821867.82400000002</v>
      </c>
      <c r="V354" s="6" t="s">
        <v>115</v>
      </c>
      <c r="W354" s="22" t="s">
        <v>78</v>
      </c>
      <c r="X354" s="27">
        <v>1.8</v>
      </c>
      <c r="Y354" s="27" t="s">
        <v>93</v>
      </c>
      <c r="Z354" s="27"/>
      <c r="AA354" s="16"/>
      <c r="AB354" s="393">
        <f t="shared" si="177"/>
        <v>269937.7623</v>
      </c>
      <c r="AC354" s="17"/>
      <c r="AD354" s="15">
        <f t="shared" si="178"/>
        <v>3617.9298000000003</v>
      </c>
      <c r="AE354" s="10"/>
    </row>
    <row r="355" spans="1:31" s="38" customFormat="1" ht="15.75" customHeight="1">
      <c r="A355" s="6" t="s">
        <v>130</v>
      </c>
      <c r="B355" s="10" t="str">
        <f>VLOOKUP(A355,[1]Sheet1!$A:$B,2,0)</f>
        <v>MODI</v>
      </c>
      <c r="C355" s="32" t="s">
        <v>132</v>
      </c>
      <c r="D355" s="31">
        <v>130040670024534</v>
      </c>
      <c r="E355" s="6" t="s">
        <v>74</v>
      </c>
      <c r="F355" s="10" t="s">
        <v>131</v>
      </c>
      <c r="G355" s="39" t="s">
        <v>76</v>
      </c>
      <c r="H355" s="40">
        <v>2024</v>
      </c>
      <c r="I355" s="334">
        <v>4</v>
      </c>
      <c r="J355" s="338">
        <v>45608</v>
      </c>
      <c r="K355" s="240"/>
      <c r="L355" s="400">
        <v>3.4099999999999998E-2</v>
      </c>
      <c r="M355" s="400">
        <v>4.1300000000000003E-2</v>
      </c>
      <c r="N355" s="405">
        <v>7.1999999999999998E-3</v>
      </c>
      <c r="O355" s="371">
        <f t="shared" si="180"/>
        <v>0</v>
      </c>
      <c r="P355" s="370">
        <v>1</v>
      </c>
      <c r="Q355" s="370">
        <f t="shared" si="179"/>
        <v>3.4099999999999998E-2</v>
      </c>
      <c r="R355" s="24">
        <v>615000</v>
      </c>
      <c r="S355" s="24">
        <v>615000</v>
      </c>
      <c r="T355" s="382">
        <v>345000</v>
      </c>
      <c r="U355" s="382">
        <f t="shared" si="176"/>
        <v>340572</v>
      </c>
      <c r="V355" s="6" t="s">
        <v>117</v>
      </c>
      <c r="W355" s="22" t="s">
        <v>78</v>
      </c>
      <c r="X355" s="27">
        <v>0.27</v>
      </c>
      <c r="Y355" s="27" t="s">
        <v>118</v>
      </c>
      <c r="Z355" s="27"/>
      <c r="AA355" s="16"/>
      <c r="AB355" s="393">
        <f t="shared" si="177"/>
        <v>25399.500000000004</v>
      </c>
      <c r="AC355" s="17"/>
      <c r="AD355" s="15">
        <f t="shared" si="178"/>
        <v>166.05</v>
      </c>
      <c r="AE355" s="10"/>
    </row>
    <row r="356" spans="1:31" s="38" customFormat="1" ht="15.75" customHeight="1">
      <c r="A356" s="6" t="s">
        <v>130</v>
      </c>
      <c r="B356" s="10" t="str">
        <f>VLOOKUP(A356,[1]Sheet1!$A:$B,2,0)</f>
        <v>MODI</v>
      </c>
      <c r="C356" s="32" t="s">
        <v>132</v>
      </c>
      <c r="D356" s="31">
        <v>130040670024534</v>
      </c>
      <c r="E356" s="6" t="s">
        <v>74</v>
      </c>
      <c r="F356" s="10" t="s">
        <v>131</v>
      </c>
      <c r="G356" s="39" t="s">
        <v>76</v>
      </c>
      <c r="H356" s="40">
        <v>2024</v>
      </c>
      <c r="I356" s="334">
        <v>5</v>
      </c>
      <c r="J356" s="338">
        <v>45608</v>
      </c>
      <c r="K356" s="240"/>
      <c r="L356" s="400">
        <v>3.4099999999999998E-2</v>
      </c>
      <c r="M356" s="400">
        <v>4.1300000000000003E-2</v>
      </c>
      <c r="N356" s="405">
        <v>7.1999999999999998E-3</v>
      </c>
      <c r="O356" s="371">
        <f t="shared" si="180"/>
        <v>0</v>
      </c>
      <c r="P356" s="370">
        <v>1</v>
      </c>
      <c r="Q356" s="370">
        <f t="shared" si="179"/>
        <v>3.4099999999999998E-2</v>
      </c>
      <c r="R356" s="24">
        <v>2286000</v>
      </c>
      <c r="S356" s="15">
        <f>R356+S355</f>
        <v>2901000</v>
      </c>
      <c r="T356" s="382">
        <v>345000</v>
      </c>
      <c r="U356" s="382">
        <f t="shared" si="176"/>
        <v>324112.8</v>
      </c>
      <c r="V356" s="6" t="s">
        <v>117</v>
      </c>
      <c r="W356" s="22" t="s">
        <v>78</v>
      </c>
      <c r="X356" s="27">
        <v>0.27</v>
      </c>
      <c r="Y356" s="27" t="s">
        <v>118</v>
      </c>
      <c r="Z356" s="27"/>
      <c r="AA356" s="16"/>
      <c r="AB356" s="393">
        <f t="shared" si="177"/>
        <v>94411.8</v>
      </c>
      <c r="AC356" s="17"/>
      <c r="AD356" s="15">
        <f t="shared" si="178"/>
        <v>617.22</v>
      </c>
      <c r="AE356" s="10"/>
    </row>
    <row r="357" spans="1:31" s="38" customFormat="1" ht="15.75" customHeight="1">
      <c r="A357" s="6" t="s">
        <v>130</v>
      </c>
      <c r="B357" s="10" t="str">
        <f>VLOOKUP(A357,[1]Sheet1!$A:$B,2,0)</f>
        <v>MODI</v>
      </c>
      <c r="C357" s="32" t="s">
        <v>132</v>
      </c>
      <c r="D357" s="31">
        <v>130040670024534</v>
      </c>
      <c r="E357" s="6" t="s">
        <v>74</v>
      </c>
      <c r="F357" s="10" t="s">
        <v>131</v>
      </c>
      <c r="G357" s="39" t="s">
        <v>76</v>
      </c>
      <c r="H357" s="40">
        <v>2024</v>
      </c>
      <c r="I357" s="334">
        <v>6</v>
      </c>
      <c r="J357" s="338">
        <v>45608</v>
      </c>
      <c r="K357" s="240"/>
      <c r="L357" s="400">
        <v>3.4099999999999998E-2</v>
      </c>
      <c r="M357" s="400">
        <v>4.1300000000000003E-2</v>
      </c>
      <c r="N357" s="405">
        <v>7.1999999999999998E-3</v>
      </c>
      <c r="O357" s="371">
        <f t="shared" si="180"/>
        <v>0</v>
      </c>
      <c r="P357" s="370">
        <v>1</v>
      </c>
      <c r="Q357" s="370">
        <f t="shared" si="179"/>
        <v>3.4099999999999998E-2</v>
      </c>
      <c r="R357" s="24">
        <v>1508662</v>
      </c>
      <c r="S357" s="15">
        <f>R357+S356</f>
        <v>4409662</v>
      </c>
      <c r="T357" s="382">
        <v>345000</v>
      </c>
      <c r="U357" s="382">
        <f t="shared" si="176"/>
        <v>313250.43359999999</v>
      </c>
      <c r="V357" s="6" t="s">
        <v>117</v>
      </c>
      <c r="W357" s="22" t="s">
        <v>78</v>
      </c>
      <c r="X357" s="27">
        <v>0.27</v>
      </c>
      <c r="Y357" s="27" t="s">
        <v>118</v>
      </c>
      <c r="Z357" s="27"/>
      <c r="AA357" s="16"/>
      <c r="AB357" s="393">
        <f t="shared" si="177"/>
        <v>62307.740600000005</v>
      </c>
      <c r="AC357" s="17"/>
      <c r="AD357" s="15">
        <f t="shared" si="178"/>
        <v>407.33874000000003</v>
      </c>
      <c r="AE357" s="10"/>
    </row>
    <row r="358" spans="1:31" s="38" customFormat="1" ht="15.75" customHeight="1">
      <c r="A358" s="6" t="s">
        <v>130</v>
      </c>
      <c r="B358" s="10" t="str">
        <f>VLOOKUP(A358,[1]Sheet1!$A:$B,2,0)</f>
        <v>MODI</v>
      </c>
      <c r="C358" s="32" t="s">
        <v>132</v>
      </c>
      <c r="D358" s="31">
        <v>130040670024534</v>
      </c>
      <c r="E358" s="6" t="s">
        <v>74</v>
      </c>
      <c r="F358" s="10" t="s">
        <v>131</v>
      </c>
      <c r="G358" s="39" t="s">
        <v>76</v>
      </c>
      <c r="H358" s="40">
        <v>2024</v>
      </c>
      <c r="I358" s="334">
        <v>7</v>
      </c>
      <c r="J358" s="338">
        <v>45608</v>
      </c>
      <c r="K358" s="240"/>
      <c r="L358" s="400">
        <v>3.4099999999999998E-2</v>
      </c>
      <c r="M358" s="400">
        <v>4.1300000000000003E-2</v>
      </c>
      <c r="N358" s="405">
        <v>7.1999999999999998E-3</v>
      </c>
      <c r="O358" s="371">
        <f t="shared" si="180"/>
        <v>0</v>
      </c>
      <c r="P358" s="370">
        <v>1</v>
      </c>
      <c r="Q358" s="370">
        <f t="shared" si="179"/>
        <v>3.4099999999999998E-2</v>
      </c>
      <c r="R358" s="24">
        <v>2160000</v>
      </c>
      <c r="S358" s="15">
        <f>R358+S357</f>
        <v>6569662</v>
      </c>
      <c r="T358" s="382">
        <v>345000</v>
      </c>
      <c r="U358" s="382">
        <f t="shared" ref="U358:U425" si="182">T358-N358*S358</f>
        <v>297698.43359999999</v>
      </c>
      <c r="V358" s="6" t="s">
        <v>117</v>
      </c>
      <c r="W358" s="22" t="s">
        <v>78</v>
      </c>
      <c r="X358" s="27">
        <v>0.27</v>
      </c>
      <c r="Y358" s="27" t="s">
        <v>118</v>
      </c>
      <c r="Z358" s="27"/>
      <c r="AA358" s="16"/>
      <c r="AB358" s="393">
        <f t="shared" ref="AB358:AB425" si="183">M358*R358</f>
        <v>89208.000000000015</v>
      </c>
      <c r="AC358" s="17"/>
      <c r="AD358" s="15">
        <f t="shared" ref="AD358:AD425" si="184">R358*X358/1000</f>
        <v>583.20000000000005</v>
      </c>
      <c r="AE358" s="10"/>
    </row>
    <row r="359" spans="1:31" s="38" customFormat="1" ht="15.75" customHeight="1">
      <c r="A359" s="6" t="s">
        <v>130</v>
      </c>
      <c r="B359" s="10" t="str">
        <f>VLOOKUP(A359,[1]Sheet1!$A:$B,2,0)</f>
        <v>MODI</v>
      </c>
      <c r="C359" s="32" t="s">
        <v>132</v>
      </c>
      <c r="D359" s="31">
        <v>130040670024534</v>
      </c>
      <c r="E359" s="6" t="s">
        <v>74</v>
      </c>
      <c r="F359" s="10" t="s">
        <v>131</v>
      </c>
      <c r="G359" s="39" t="s">
        <v>76</v>
      </c>
      <c r="H359" s="40">
        <v>2024</v>
      </c>
      <c r="I359" s="334">
        <v>8</v>
      </c>
      <c r="J359" s="338">
        <v>45608</v>
      </c>
      <c r="K359" s="240"/>
      <c r="L359" s="400">
        <v>3.4099999999999998E-2</v>
      </c>
      <c r="M359" s="400">
        <v>4.1300000000000003E-2</v>
      </c>
      <c r="N359" s="405">
        <v>7.1999999999999998E-3</v>
      </c>
      <c r="O359" s="371">
        <f t="shared" si="180"/>
        <v>0</v>
      </c>
      <c r="P359" s="370">
        <v>1</v>
      </c>
      <c r="Q359" s="370">
        <f t="shared" si="179"/>
        <v>3.4099999999999998E-2</v>
      </c>
      <c r="R359" s="24">
        <v>2144040</v>
      </c>
      <c r="S359" s="15">
        <f>R359+S358</f>
        <v>8713702</v>
      </c>
      <c r="T359" s="382">
        <v>345000</v>
      </c>
      <c r="U359" s="382">
        <f t="shared" si="182"/>
        <v>282261.3456</v>
      </c>
      <c r="V359" s="6" t="s">
        <v>117</v>
      </c>
      <c r="W359" s="22" t="s">
        <v>78</v>
      </c>
      <c r="X359" s="27">
        <v>0.27</v>
      </c>
      <c r="Y359" s="27" t="s">
        <v>118</v>
      </c>
      <c r="Z359" s="27"/>
      <c r="AA359" s="16"/>
      <c r="AB359" s="393">
        <f t="shared" si="183"/>
        <v>88548.852000000014</v>
      </c>
      <c r="AC359" s="17"/>
      <c r="AD359" s="15">
        <f t="shared" si="184"/>
        <v>578.89080000000001</v>
      </c>
      <c r="AE359" s="10"/>
    </row>
    <row r="360" spans="1:31" s="38" customFormat="1" ht="15.75" customHeight="1">
      <c r="A360" s="6" t="s">
        <v>130</v>
      </c>
      <c r="B360" s="10" t="str">
        <f>VLOOKUP(A360,[1]Sheet1!$A:$B,2,0)</f>
        <v>MODI</v>
      </c>
      <c r="C360" s="32" t="s">
        <v>133</v>
      </c>
      <c r="D360" s="31">
        <v>130040670023443</v>
      </c>
      <c r="E360" s="6" t="s">
        <v>74</v>
      </c>
      <c r="F360" s="10" t="s">
        <v>75</v>
      </c>
      <c r="G360" s="39" t="s">
        <v>76</v>
      </c>
      <c r="H360" s="40">
        <v>2024</v>
      </c>
      <c r="I360" s="334">
        <v>4</v>
      </c>
      <c r="J360" s="338">
        <v>45608</v>
      </c>
      <c r="K360" s="240"/>
      <c r="L360" s="400">
        <v>5.2299999999999999E-2</v>
      </c>
      <c r="M360" s="400">
        <v>5.8900000000000001E-2</v>
      </c>
      <c r="N360" s="405">
        <v>6.6E-3</v>
      </c>
      <c r="O360" s="371">
        <f t="shared" si="180"/>
        <v>0</v>
      </c>
      <c r="P360" s="370">
        <v>1</v>
      </c>
      <c r="Q360" s="370">
        <f t="shared" si="179"/>
        <v>5.2299999999999999E-2</v>
      </c>
      <c r="R360" s="24">
        <v>758000</v>
      </c>
      <c r="S360" s="24">
        <v>758000</v>
      </c>
      <c r="T360" s="382">
        <v>315000</v>
      </c>
      <c r="U360" s="382">
        <f t="shared" si="182"/>
        <v>309997.2</v>
      </c>
      <c r="V360" s="6" t="s">
        <v>101</v>
      </c>
      <c r="W360" s="22" t="s">
        <v>78</v>
      </c>
      <c r="X360" s="27">
        <v>1.06</v>
      </c>
      <c r="Y360" s="6" t="s">
        <v>103</v>
      </c>
      <c r="Z360" s="6"/>
      <c r="AA360" s="16"/>
      <c r="AB360" s="393">
        <f t="shared" si="183"/>
        <v>44646.200000000004</v>
      </c>
      <c r="AC360" s="17"/>
      <c r="AD360" s="15">
        <f t="shared" si="184"/>
        <v>803.48</v>
      </c>
      <c r="AE360" s="10"/>
    </row>
    <row r="361" spans="1:31" s="38" customFormat="1" ht="15.75" customHeight="1">
      <c r="A361" s="6" t="s">
        <v>130</v>
      </c>
      <c r="B361" s="10" t="str">
        <f>VLOOKUP(A361,[1]Sheet1!$A:$B,2,0)</f>
        <v>MODI</v>
      </c>
      <c r="C361" s="32" t="s">
        <v>133</v>
      </c>
      <c r="D361" s="31">
        <v>130040670023443</v>
      </c>
      <c r="E361" s="6" t="s">
        <v>74</v>
      </c>
      <c r="F361" s="10" t="s">
        <v>75</v>
      </c>
      <c r="G361" s="39" t="s">
        <v>76</v>
      </c>
      <c r="H361" s="40">
        <v>2024</v>
      </c>
      <c r="I361" s="334">
        <v>5</v>
      </c>
      <c r="J361" s="338">
        <v>45608</v>
      </c>
      <c r="K361" s="240"/>
      <c r="L361" s="400">
        <v>5.2299999999999999E-2</v>
      </c>
      <c r="M361" s="400">
        <v>5.8900000000000001E-2</v>
      </c>
      <c r="N361" s="405">
        <v>6.6E-3</v>
      </c>
      <c r="O361" s="371">
        <f t="shared" si="180"/>
        <v>0</v>
      </c>
      <c r="P361" s="370">
        <v>1</v>
      </c>
      <c r="Q361" s="370">
        <f t="shared" si="179"/>
        <v>5.2299999999999999E-2</v>
      </c>
      <c r="R361" s="24">
        <v>2034000</v>
      </c>
      <c r="S361" s="15">
        <f>R361+S360</f>
        <v>2792000</v>
      </c>
      <c r="T361" s="382">
        <v>315000</v>
      </c>
      <c r="U361" s="382">
        <f t="shared" si="182"/>
        <v>296572.79999999999</v>
      </c>
      <c r="V361" s="6" t="s">
        <v>101</v>
      </c>
      <c r="W361" s="22" t="s">
        <v>78</v>
      </c>
      <c r="X361" s="27">
        <v>1.06</v>
      </c>
      <c r="Y361" s="6" t="s">
        <v>103</v>
      </c>
      <c r="Z361" s="6"/>
      <c r="AA361" s="16"/>
      <c r="AB361" s="393">
        <f t="shared" si="183"/>
        <v>119802.6</v>
      </c>
      <c r="AC361" s="17"/>
      <c r="AD361" s="15">
        <f t="shared" si="184"/>
        <v>2156.04</v>
      </c>
      <c r="AE361" s="10"/>
    </row>
    <row r="362" spans="1:31" s="38" customFormat="1" ht="15.75" customHeight="1">
      <c r="A362" s="6" t="s">
        <v>130</v>
      </c>
      <c r="B362" s="10" t="str">
        <f>VLOOKUP(A362,[1]Sheet1!$A:$B,2,0)</f>
        <v>MODI</v>
      </c>
      <c r="C362" s="32" t="s">
        <v>133</v>
      </c>
      <c r="D362" s="31">
        <v>130040670023443</v>
      </c>
      <c r="E362" s="6" t="s">
        <v>74</v>
      </c>
      <c r="F362" s="10" t="s">
        <v>75</v>
      </c>
      <c r="G362" s="39" t="s">
        <v>76</v>
      </c>
      <c r="H362" s="40">
        <v>2024</v>
      </c>
      <c r="I362" s="334">
        <v>6</v>
      </c>
      <c r="J362" s="338">
        <v>45608</v>
      </c>
      <c r="K362" s="240"/>
      <c r="L362" s="400">
        <v>5.2299999999999999E-2</v>
      </c>
      <c r="M362" s="400">
        <v>5.8900000000000001E-2</v>
      </c>
      <c r="N362" s="405">
        <v>6.6E-3</v>
      </c>
      <c r="O362" s="371">
        <f t="shared" si="180"/>
        <v>0</v>
      </c>
      <c r="P362" s="370">
        <v>1</v>
      </c>
      <c r="Q362" s="370">
        <f t="shared" si="179"/>
        <v>5.2299999999999999E-2</v>
      </c>
      <c r="R362" s="24">
        <v>1668040</v>
      </c>
      <c r="S362" s="15">
        <f>R362+S361</f>
        <v>4460040</v>
      </c>
      <c r="T362" s="382">
        <v>315000</v>
      </c>
      <c r="U362" s="382">
        <f t="shared" si="182"/>
        <v>285563.73599999998</v>
      </c>
      <c r="V362" s="6" t="s">
        <v>101</v>
      </c>
      <c r="W362" s="22" t="s">
        <v>78</v>
      </c>
      <c r="X362" s="27">
        <v>1.06</v>
      </c>
      <c r="Y362" s="6" t="s">
        <v>103</v>
      </c>
      <c r="Z362" s="6"/>
      <c r="AA362" s="16"/>
      <c r="AB362" s="393">
        <f t="shared" si="183"/>
        <v>98247.555999999997</v>
      </c>
      <c r="AC362" s="17"/>
      <c r="AD362" s="15">
        <f t="shared" si="184"/>
        <v>1768.1224000000002</v>
      </c>
      <c r="AE362" s="10"/>
    </row>
    <row r="363" spans="1:31" s="38" customFormat="1" ht="15.75" customHeight="1">
      <c r="A363" s="6" t="s">
        <v>130</v>
      </c>
      <c r="B363" s="10" t="str">
        <f>VLOOKUP(A363,[1]Sheet1!$A:$B,2,0)</f>
        <v>MODI</v>
      </c>
      <c r="C363" s="32" t="s">
        <v>133</v>
      </c>
      <c r="D363" s="31">
        <v>130040670023443</v>
      </c>
      <c r="E363" s="6" t="s">
        <v>74</v>
      </c>
      <c r="F363" s="10" t="s">
        <v>75</v>
      </c>
      <c r="G363" s="39" t="s">
        <v>76</v>
      </c>
      <c r="H363" s="40">
        <v>2024</v>
      </c>
      <c r="I363" s="334">
        <v>7</v>
      </c>
      <c r="J363" s="338">
        <v>45608</v>
      </c>
      <c r="K363" s="240"/>
      <c r="L363" s="400">
        <v>5.2299999999999999E-2</v>
      </c>
      <c r="M363" s="400">
        <v>5.8900000000000001E-2</v>
      </c>
      <c r="N363" s="405">
        <v>6.6E-3</v>
      </c>
      <c r="O363" s="371">
        <f t="shared" si="180"/>
        <v>0</v>
      </c>
      <c r="P363" s="370">
        <v>1</v>
      </c>
      <c r="Q363" s="370">
        <f t="shared" si="179"/>
        <v>5.2299999999999999E-2</v>
      </c>
      <c r="R363" s="24">
        <v>1958000</v>
      </c>
      <c r="S363" s="15">
        <f>R363+S362</f>
        <v>6418040</v>
      </c>
      <c r="T363" s="382">
        <v>315000</v>
      </c>
      <c r="U363" s="382">
        <f t="shared" si="182"/>
        <v>272640.93599999999</v>
      </c>
      <c r="V363" s="6" t="s">
        <v>101</v>
      </c>
      <c r="W363" s="22" t="s">
        <v>78</v>
      </c>
      <c r="X363" s="27">
        <v>1.06</v>
      </c>
      <c r="Y363" s="6" t="s">
        <v>103</v>
      </c>
      <c r="Z363" s="6"/>
      <c r="AA363" s="16"/>
      <c r="AB363" s="393">
        <f t="shared" si="183"/>
        <v>115326.2</v>
      </c>
      <c r="AC363" s="17"/>
      <c r="AD363" s="15">
        <f t="shared" si="184"/>
        <v>2075.48</v>
      </c>
      <c r="AE363" s="10"/>
    </row>
    <row r="364" spans="1:31" s="38" customFormat="1" ht="15.75" customHeight="1">
      <c r="A364" s="6" t="s">
        <v>130</v>
      </c>
      <c r="B364" s="10" t="str">
        <f>VLOOKUP(A364,[1]Sheet1!$A:$B,2,0)</f>
        <v>MODI</v>
      </c>
      <c r="C364" s="32" t="s">
        <v>133</v>
      </c>
      <c r="D364" s="31">
        <v>130040670023443</v>
      </c>
      <c r="E364" s="6" t="s">
        <v>74</v>
      </c>
      <c r="F364" s="10" t="s">
        <v>75</v>
      </c>
      <c r="G364" s="39" t="s">
        <v>76</v>
      </c>
      <c r="H364" s="40">
        <v>2024</v>
      </c>
      <c r="I364" s="334">
        <v>8</v>
      </c>
      <c r="J364" s="338">
        <v>45608</v>
      </c>
      <c r="K364" s="240"/>
      <c r="L364" s="400">
        <v>5.2299999999999999E-2</v>
      </c>
      <c r="M364" s="400">
        <v>5.8900000000000001E-2</v>
      </c>
      <c r="N364" s="405">
        <v>6.6E-3</v>
      </c>
      <c r="O364" s="371">
        <f t="shared" si="180"/>
        <v>0</v>
      </c>
      <c r="P364" s="370">
        <v>1</v>
      </c>
      <c r="Q364" s="370">
        <f t="shared" si="179"/>
        <v>5.2299999999999999E-2</v>
      </c>
      <c r="R364" s="24">
        <v>1818000</v>
      </c>
      <c r="S364" s="15">
        <f>R364+S363</f>
        <v>8236040</v>
      </c>
      <c r="T364" s="382">
        <v>315000</v>
      </c>
      <c r="U364" s="382">
        <f t="shared" si="182"/>
        <v>260642.136</v>
      </c>
      <c r="V364" s="6" t="s">
        <v>101</v>
      </c>
      <c r="W364" s="22" t="s">
        <v>78</v>
      </c>
      <c r="X364" s="27">
        <v>1.06</v>
      </c>
      <c r="Y364" s="6" t="s">
        <v>103</v>
      </c>
      <c r="Z364" s="6"/>
      <c r="AA364" s="16"/>
      <c r="AB364" s="393">
        <f t="shared" si="183"/>
        <v>107080.2</v>
      </c>
      <c r="AC364" s="17"/>
      <c r="AD364" s="15">
        <f t="shared" si="184"/>
        <v>1927.08</v>
      </c>
      <c r="AE364" s="10"/>
    </row>
    <row r="365" spans="1:31" s="38" customFormat="1" ht="15.75" customHeight="1">
      <c r="A365" s="6" t="s">
        <v>86</v>
      </c>
      <c r="B365" s="10" t="str">
        <f>VLOOKUP(A365,[1]Sheet1!$A:$B,2,0)</f>
        <v>MODI</v>
      </c>
      <c r="C365" s="20" t="s">
        <v>87</v>
      </c>
      <c r="D365" s="31">
        <v>310493191000</v>
      </c>
      <c r="E365" s="6" t="s">
        <v>74</v>
      </c>
      <c r="F365" s="10" t="s">
        <v>75</v>
      </c>
      <c r="G365" s="39" t="s">
        <v>76</v>
      </c>
      <c r="H365" s="40">
        <v>2024</v>
      </c>
      <c r="I365" s="334">
        <v>9</v>
      </c>
      <c r="J365" s="338">
        <v>45608</v>
      </c>
      <c r="K365" s="240"/>
      <c r="L365" s="400">
        <v>0.28620000000000001</v>
      </c>
      <c r="M365" s="400">
        <v>0.31727334999999995</v>
      </c>
      <c r="N365" s="405">
        <v>3.1099999999999999E-2</v>
      </c>
      <c r="O365" s="371">
        <f t="shared" si="180"/>
        <v>0</v>
      </c>
      <c r="P365" s="370">
        <v>1</v>
      </c>
      <c r="Q365" s="370">
        <f t="shared" si="179"/>
        <v>0.28620000000000001</v>
      </c>
      <c r="R365" s="24">
        <v>181619</v>
      </c>
      <c r="S365" s="15">
        <v>48458433</v>
      </c>
      <c r="T365" s="382">
        <v>5970000</v>
      </c>
      <c r="U365" s="382">
        <f t="shared" si="182"/>
        <v>4462942.7336999997</v>
      </c>
      <c r="V365" s="34" t="s">
        <v>88</v>
      </c>
      <c r="W365" s="22" t="s">
        <v>78</v>
      </c>
      <c r="X365" s="27">
        <v>4.03</v>
      </c>
      <c r="Y365" s="27" t="s">
        <v>79</v>
      </c>
      <c r="Z365" s="27"/>
      <c r="AA365" s="16"/>
      <c r="AB365" s="393">
        <f t="shared" si="183"/>
        <v>57622.868553649991</v>
      </c>
      <c r="AC365" s="17"/>
      <c r="AD365" s="15">
        <f t="shared" si="184"/>
        <v>731.92457000000002</v>
      </c>
      <c r="AE365" s="10"/>
    </row>
    <row r="366" spans="1:31" s="38" customFormat="1" ht="15.75" customHeight="1">
      <c r="A366" s="6" t="s">
        <v>86</v>
      </c>
      <c r="B366" s="10" t="str">
        <f>VLOOKUP(A366,[1]Sheet1!$A:$B,2,0)</f>
        <v>MODI</v>
      </c>
      <c r="C366" s="20" t="s">
        <v>89</v>
      </c>
      <c r="D366" s="31">
        <v>310493192000</v>
      </c>
      <c r="E366" s="6" t="s">
        <v>74</v>
      </c>
      <c r="F366" s="10" t="s">
        <v>75</v>
      </c>
      <c r="G366" s="39" t="s">
        <v>76</v>
      </c>
      <c r="H366" s="40">
        <v>2024</v>
      </c>
      <c r="I366" s="334">
        <v>9</v>
      </c>
      <c r="J366" s="338">
        <v>45608</v>
      </c>
      <c r="K366" s="240"/>
      <c r="L366" s="400">
        <v>4.5900000000000003E-2</v>
      </c>
      <c r="M366" s="400">
        <v>5.6375000000000001E-2</v>
      </c>
      <c r="N366" s="405">
        <v>1.0500000000000001E-2</v>
      </c>
      <c r="O366" s="371">
        <f t="shared" si="180"/>
        <v>0</v>
      </c>
      <c r="P366" s="370">
        <v>1</v>
      </c>
      <c r="Q366" s="370">
        <f t="shared" si="179"/>
        <v>4.5900000000000003E-2</v>
      </c>
      <c r="R366" s="23">
        <v>265457</v>
      </c>
      <c r="S366" s="15">
        <f>R366+S168</f>
        <v>51213261</v>
      </c>
      <c r="T366" s="382">
        <v>2514000</v>
      </c>
      <c r="U366" s="382">
        <f t="shared" si="182"/>
        <v>1976260.7594999999</v>
      </c>
      <c r="V366" s="34" t="s">
        <v>88</v>
      </c>
      <c r="W366" s="22" t="s">
        <v>78</v>
      </c>
      <c r="X366" s="27">
        <v>0.43</v>
      </c>
      <c r="Y366" s="27" t="s">
        <v>79</v>
      </c>
      <c r="Z366" s="27"/>
      <c r="AA366" s="16"/>
      <c r="AB366" s="393">
        <f t="shared" si="183"/>
        <v>14965.138375</v>
      </c>
      <c r="AC366" s="17"/>
      <c r="AD366" s="15">
        <f t="shared" si="184"/>
        <v>114.14650999999999</v>
      </c>
      <c r="AE366" s="10"/>
    </row>
    <row r="367" spans="1:31" s="38" customFormat="1" ht="15.75" customHeight="1">
      <c r="A367" s="6" t="s">
        <v>86</v>
      </c>
      <c r="B367" s="10" t="str">
        <f>VLOOKUP(A367,[1]Sheet1!$A:$B,2,0)</f>
        <v>MODI</v>
      </c>
      <c r="C367" s="20" t="s">
        <v>90</v>
      </c>
      <c r="D367" s="31">
        <v>310493193000</v>
      </c>
      <c r="E367" s="6" t="s">
        <v>74</v>
      </c>
      <c r="F367" s="10" t="s">
        <v>75</v>
      </c>
      <c r="G367" s="39" t="s">
        <v>76</v>
      </c>
      <c r="H367" s="40">
        <v>2024</v>
      </c>
      <c r="I367" s="334">
        <v>9</v>
      </c>
      <c r="J367" s="338">
        <v>45608</v>
      </c>
      <c r="K367" s="240"/>
      <c r="L367" s="400">
        <v>6.8099999999999994E-2</v>
      </c>
      <c r="M367" s="400">
        <v>8.0466666666666659E-2</v>
      </c>
      <c r="N367" s="405">
        <v>1.24E-2</v>
      </c>
      <c r="O367" s="371">
        <f t="shared" si="180"/>
        <v>0</v>
      </c>
      <c r="P367" s="370">
        <v>1</v>
      </c>
      <c r="Q367" s="370">
        <f t="shared" si="179"/>
        <v>6.8099999999999994E-2</v>
      </c>
      <c r="R367" s="23">
        <v>352171</v>
      </c>
      <c r="S367" s="15">
        <v>48387960</v>
      </c>
      <c r="T367" s="382">
        <v>2968000</v>
      </c>
      <c r="U367" s="382">
        <f t="shared" si="182"/>
        <v>2367989.2960000001</v>
      </c>
      <c r="V367" s="34" t="s">
        <v>88</v>
      </c>
      <c r="W367" s="22" t="s">
        <v>78</v>
      </c>
      <c r="X367" s="27">
        <v>0.6</v>
      </c>
      <c r="Y367" s="27" t="s">
        <v>79</v>
      </c>
      <c r="Z367" s="27"/>
      <c r="AA367" s="16"/>
      <c r="AB367" s="393">
        <f t="shared" si="183"/>
        <v>28338.026466666663</v>
      </c>
      <c r="AC367" s="17"/>
      <c r="AD367" s="15">
        <f t="shared" si="184"/>
        <v>211.30260000000001</v>
      </c>
      <c r="AE367" s="10"/>
    </row>
    <row r="368" spans="1:31" s="38" customFormat="1" ht="15.75" customHeight="1">
      <c r="A368" s="6" t="s">
        <v>86</v>
      </c>
      <c r="B368" s="10" t="str">
        <f>VLOOKUP(A368,[1]Sheet1!$A:$B,2,0)</f>
        <v>MODI</v>
      </c>
      <c r="C368" s="20" t="s">
        <v>91</v>
      </c>
      <c r="D368" s="31">
        <v>310493194000</v>
      </c>
      <c r="E368" s="6" t="s">
        <v>74</v>
      </c>
      <c r="F368" s="10" t="s">
        <v>75</v>
      </c>
      <c r="G368" s="39" t="s">
        <v>76</v>
      </c>
      <c r="H368" s="40">
        <v>2024</v>
      </c>
      <c r="I368" s="334">
        <v>9</v>
      </c>
      <c r="J368" s="338">
        <v>45608</v>
      </c>
      <c r="K368" s="240"/>
      <c r="L368" s="400">
        <v>7.0999999999999994E-2</v>
      </c>
      <c r="M368" s="400">
        <v>8.5166666666666654E-2</v>
      </c>
      <c r="N368" s="405">
        <v>1.4200000000000001E-2</v>
      </c>
      <c r="O368" s="371">
        <f t="shared" si="180"/>
        <v>0</v>
      </c>
      <c r="P368" s="370">
        <v>1</v>
      </c>
      <c r="Q368" s="370">
        <f t="shared" si="179"/>
        <v>7.0999999999999994E-2</v>
      </c>
      <c r="R368" s="23">
        <v>201052</v>
      </c>
      <c r="S368" s="15">
        <v>64357129</v>
      </c>
      <c r="T368" s="382">
        <v>3400000</v>
      </c>
      <c r="U368" s="382">
        <f t="shared" si="182"/>
        <v>2486128.7681999998</v>
      </c>
      <c r="V368" s="35" t="s">
        <v>92</v>
      </c>
      <c r="W368" s="22" t="s">
        <v>78</v>
      </c>
      <c r="X368" s="27">
        <v>1</v>
      </c>
      <c r="Y368" s="27" t="s">
        <v>93</v>
      </c>
      <c r="Z368" s="27"/>
      <c r="AA368" s="16"/>
      <c r="AB368" s="393">
        <f t="shared" si="183"/>
        <v>17122.928666666663</v>
      </c>
      <c r="AC368" s="17"/>
      <c r="AD368" s="15">
        <f t="shared" si="184"/>
        <v>201.05199999999999</v>
      </c>
      <c r="AE368" s="10" t="s">
        <v>94</v>
      </c>
    </row>
    <row r="369" spans="1:31" s="38" customFormat="1" ht="15.75" customHeight="1">
      <c r="A369" s="6" t="s">
        <v>86</v>
      </c>
      <c r="B369" s="10" t="str">
        <f>VLOOKUP(A369,[1]Sheet1!$A:$B,2,0)</f>
        <v>MODI</v>
      </c>
      <c r="C369" s="20" t="s">
        <v>95</v>
      </c>
      <c r="D369" s="262">
        <v>310493196000</v>
      </c>
      <c r="E369" s="6" t="s">
        <v>74</v>
      </c>
      <c r="F369" s="10" t="s">
        <v>75</v>
      </c>
      <c r="G369" s="39" t="s">
        <v>76</v>
      </c>
      <c r="H369" s="40">
        <v>2024</v>
      </c>
      <c r="I369" s="334">
        <v>9</v>
      </c>
      <c r="J369" s="338">
        <v>45608</v>
      </c>
      <c r="K369" s="240"/>
      <c r="L369" s="400">
        <v>4.1200000000000001E-2</v>
      </c>
      <c r="M369" s="400">
        <v>5.2658333333333335E-2</v>
      </c>
      <c r="N369" s="405">
        <v>1.15E-2</v>
      </c>
      <c r="O369" s="371">
        <f t="shared" si="180"/>
        <v>0</v>
      </c>
      <c r="P369" s="370">
        <v>1</v>
      </c>
      <c r="Q369" s="370">
        <f t="shared" si="179"/>
        <v>4.1200000000000001E-2</v>
      </c>
      <c r="R369" s="23">
        <v>175957</v>
      </c>
      <c r="S369" s="15">
        <v>35446462</v>
      </c>
      <c r="T369" s="382">
        <v>1650000</v>
      </c>
      <c r="U369" s="382">
        <f t="shared" si="182"/>
        <v>1242365.6869999999</v>
      </c>
      <c r="V369" s="35" t="s">
        <v>92</v>
      </c>
      <c r="W369" s="22" t="s">
        <v>78</v>
      </c>
      <c r="X369" s="27">
        <v>0.47000000000000003</v>
      </c>
      <c r="Y369" s="27" t="s">
        <v>93</v>
      </c>
      <c r="Z369" s="27"/>
      <c r="AA369" s="16"/>
      <c r="AB369" s="393">
        <f t="shared" si="183"/>
        <v>9265.6023583333335</v>
      </c>
      <c r="AC369" s="17"/>
      <c r="AD369" s="15">
        <f t="shared" si="184"/>
        <v>82.699790000000007</v>
      </c>
      <c r="AE369" s="10"/>
    </row>
    <row r="370" spans="1:31" s="38" customFormat="1" ht="15.75" customHeight="1">
      <c r="A370" s="6" t="s">
        <v>18</v>
      </c>
      <c r="B370" s="10" t="str">
        <f>VLOOKUP(A370,[1]Sheet1!$A:$B,2,0)</f>
        <v>RCS POD</v>
      </c>
      <c r="C370" s="6" t="s">
        <v>100</v>
      </c>
      <c r="D370" s="31">
        <v>130040670029868</v>
      </c>
      <c r="E370" s="6" t="s">
        <v>74</v>
      </c>
      <c r="F370" s="10" t="s">
        <v>75</v>
      </c>
      <c r="G370" s="39" t="s">
        <v>76</v>
      </c>
      <c r="H370" s="40">
        <v>2024</v>
      </c>
      <c r="I370" s="334">
        <v>9</v>
      </c>
      <c r="J370" s="338">
        <v>45608</v>
      </c>
      <c r="K370" s="240"/>
      <c r="L370" s="400">
        <v>0.1802</v>
      </c>
      <c r="M370" s="400">
        <v>0.21870000000000001</v>
      </c>
      <c r="N370" s="405">
        <f>0.0213+0.0118</f>
        <v>3.3099999999999997E-2</v>
      </c>
      <c r="O370" s="371">
        <f t="shared" si="180"/>
        <v>0</v>
      </c>
      <c r="P370" s="370">
        <v>1</v>
      </c>
      <c r="Q370" s="370">
        <f t="shared" si="179"/>
        <v>0.1802</v>
      </c>
      <c r="R370" s="23">
        <v>13019720</v>
      </c>
      <c r="S370" s="15">
        <f>R370+S222</f>
        <v>62539399</v>
      </c>
      <c r="T370" s="382">
        <v>8913207</v>
      </c>
      <c r="U370" s="382">
        <f>T370-N370*S370</f>
        <v>6843152.8931</v>
      </c>
      <c r="V370" s="6" t="s">
        <v>101</v>
      </c>
      <c r="W370" s="22" t="s">
        <v>78</v>
      </c>
      <c r="X370" s="27">
        <v>3.8</v>
      </c>
      <c r="Y370" s="6" t="s">
        <v>103</v>
      </c>
      <c r="Z370" s="6"/>
      <c r="AA370" s="16"/>
      <c r="AB370" s="393">
        <f>M370*R370</f>
        <v>2847412.764</v>
      </c>
      <c r="AC370" s="17"/>
      <c r="AD370" s="15">
        <f t="shared" si="184"/>
        <v>49474.936000000002</v>
      </c>
      <c r="AE370" s="10"/>
    </row>
    <row r="371" spans="1:31" s="38" customFormat="1" ht="15.75" customHeight="1">
      <c r="A371" s="6" t="s">
        <v>18</v>
      </c>
      <c r="B371" s="10" t="str">
        <f>VLOOKUP(A371,[1]Sheet1!$A:$B,2,0)</f>
        <v>RCS POD</v>
      </c>
      <c r="C371" s="37" t="s">
        <v>104</v>
      </c>
      <c r="D371" s="31">
        <v>130040670020899</v>
      </c>
      <c r="E371" s="6" t="s">
        <v>74</v>
      </c>
      <c r="F371" s="10" t="s">
        <v>75</v>
      </c>
      <c r="G371" s="39" t="s">
        <v>76</v>
      </c>
      <c r="H371" s="40">
        <v>2024</v>
      </c>
      <c r="I371" s="334">
        <v>9</v>
      </c>
      <c r="J371" s="338">
        <v>45608</v>
      </c>
      <c r="K371" s="240"/>
      <c r="L371" s="400">
        <v>6.2700000000000006E-2</v>
      </c>
      <c r="M371" s="400">
        <v>8.7300000000000003E-2</v>
      </c>
      <c r="N371" s="405">
        <v>2.46E-2</v>
      </c>
      <c r="O371" s="371">
        <f t="shared" si="180"/>
        <v>0</v>
      </c>
      <c r="P371" s="370">
        <v>1</v>
      </c>
      <c r="Q371" s="370">
        <f t="shared" si="179"/>
        <v>6.2700000000000006E-2</v>
      </c>
      <c r="R371" s="23">
        <v>10859653</v>
      </c>
      <c r="S371" s="15">
        <f>R371+S227</f>
        <v>67282300</v>
      </c>
      <c r="T371" s="382">
        <v>5893484</v>
      </c>
      <c r="U371" s="382">
        <f t="shared" si="182"/>
        <v>4238339.42</v>
      </c>
      <c r="V371" s="6" t="s">
        <v>88</v>
      </c>
      <c r="W371" s="22" t="s">
        <v>78</v>
      </c>
      <c r="X371" s="27">
        <v>0.53</v>
      </c>
      <c r="Y371" s="27" t="s">
        <v>79</v>
      </c>
      <c r="Z371" s="27"/>
      <c r="AA371" s="16"/>
      <c r="AB371" s="393">
        <f t="shared" si="183"/>
        <v>948047.70689999999</v>
      </c>
      <c r="AC371" s="17"/>
      <c r="AD371" s="15">
        <f t="shared" si="184"/>
        <v>5755.6160899999995</v>
      </c>
      <c r="AE371" s="10"/>
    </row>
    <row r="372" spans="1:31" s="38" customFormat="1" ht="15.75" customHeight="1">
      <c r="A372" s="6" t="s">
        <v>18</v>
      </c>
      <c r="B372" s="10" t="str">
        <f>VLOOKUP(A372,[1]Sheet1!$A:$B,2,0)</f>
        <v>RCS POD</v>
      </c>
      <c r="C372" s="37" t="s">
        <v>105</v>
      </c>
      <c r="D372" s="31">
        <v>130040670020898</v>
      </c>
      <c r="E372" s="6" t="s">
        <v>74</v>
      </c>
      <c r="F372" s="10" t="s">
        <v>75</v>
      </c>
      <c r="G372" s="39" t="s">
        <v>76</v>
      </c>
      <c r="H372" s="40">
        <v>2024</v>
      </c>
      <c r="I372" s="334">
        <v>9</v>
      </c>
      <c r="J372" s="338">
        <v>45608</v>
      </c>
      <c r="K372" s="240"/>
      <c r="L372" s="400">
        <v>5.0299999999999997E-2</v>
      </c>
      <c r="M372" s="400">
        <v>7.4499999999999997E-2</v>
      </c>
      <c r="N372" s="405">
        <v>2.4199999999999999E-2</v>
      </c>
      <c r="O372" s="371">
        <f t="shared" si="180"/>
        <v>0</v>
      </c>
      <c r="P372" s="370">
        <v>1</v>
      </c>
      <c r="Q372" s="370">
        <f t="shared" si="179"/>
        <v>5.0299999999999997E-2</v>
      </c>
      <c r="R372" s="23">
        <v>12193181</v>
      </c>
      <c r="S372" s="15">
        <f>R372+S232</f>
        <v>69642402</v>
      </c>
      <c r="T372" s="382">
        <v>5799197</v>
      </c>
      <c r="U372" s="382">
        <f t="shared" si="182"/>
        <v>4113850.8716000002</v>
      </c>
      <c r="V372" s="6" t="s">
        <v>88</v>
      </c>
      <c r="W372" s="22" t="s">
        <v>78</v>
      </c>
      <c r="X372" s="27">
        <v>0.24</v>
      </c>
      <c r="Y372" s="27" t="s">
        <v>79</v>
      </c>
      <c r="Z372" s="27"/>
      <c r="AA372" s="16"/>
      <c r="AB372" s="393">
        <f t="shared" si="183"/>
        <v>908391.9844999999</v>
      </c>
      <c r="AC372" s="17"/>
      <c r="AD372" s="15">
        <f t="shared" si="184"/>
        <v>2926.3634400000001</v>
      </c>
      <c r="AE372" s="10"/>
    </row>
    <row r="373" spans="1:31" s="38" customFormat="1" ht="15.75" customHeight="1">
      <c r="A373" s="6" t="s">
        <v>96</v>
      </c>
      <c r="B373" s="10" t="str">
        <f>VLOOKUP(A373,[1]Sheet1!$A:$B,2,0)</f>
        <v>MODI</v>
      </c>
      <c r="C373" s="37" t="s">
        <v>97</v>
      </c>
      <c r="D373" s="6">
        <v>353003232</v>
      </c>
      <c r="E373" s="6" t="s">
        <v>74</v>
      </c>
      <c r="F373" s="10" t="s">
        <v>75</v>
      </c>
      <c r="G373" s="39" t="s">
        <v>76</v>
      </c>
      <c r="H373" s="40">
        <v>2024</v>
      </c>
      <c r="I373" s="334">
        <v>9</v>
      </c>
      <c r="J373" s="338">
        <v>45608</v>
      </c>
      <c r="K373" s="240"/>
      <c r="L373" s="400">
        <v>0.5</v>
      </c>
      <c r="M373" s="400">
        <v>0.56640000000000001</v>
      </c>
      <c r="N373" s="405">
        <v>6.6400000000000001E-2</v>
      </c>
      <c r="O373" s="371">
        <f t="shared" si="180"/>
        <v>0</v>
      </c>
      <c r="P373" s="370">
        <v>1</v>
      </c>
      <c r="Q373" s="370">
        <f t="shared" si="179"/>
        <v>0.5</v>
      </c>
      <c r="R373" s="23">
        <v>53046</v>
      </c>
      <c r="S373" s="15">
        <v>6853851</v>
      </c>
      <c r="T373" s="382">
        <v>830000</v>
      </c>
      <c r="U373" s="382">
        <f t="shared" si="182"/>
        <v>374904.29359999998</v>
      </c>
      <c r="V373" s="6" t="s">
        <v>82</v>
      </c>
      <c r="W373" s="22" t="s">
        <v>78</v>
      </c>
      <c r="X373" s="27">
        <v>8</v>
      </c>
      <c r="Y373" s="27" t="s">
        <v>83</v>
      </c>
      <c r="Z373" s="27"/>
      <c r="AA373" s="16"/>
      <c r="AB373" s="393">
        <f t="shared" si="183"/>
        <v>30045.254400000002</v>
      </c>
      <c r="AC373" s="17"/>
      <c r="AD373" s="15">
        <f t="shared" si="184"/>
        <v>424.36799999999999</v>
      </c>
      <c r="AE373" s="10"/>
    </row>
    <row r="374" spans="1:31" s="38" customFormat="1" ht="15.75" customHeight="1">
      <c r="A374" s="6" t="s">
        <v>96</v>
      </c>
      <c r="B374" s="10" t="str">
        <f>VLOOKUP(A374,[1]Sheet1!$A:$B,2,0)</f>
        <v>MODI</v>
      </c>
      <c r="C374" s="37" t="s">
        <v>98</v>
      </c>
      <c r="D374" s="6">
        <v>353003233</v>
      </c>
      <c r="E374" s="6" t="s">
        <v>74</v>
      </c>
      <c r="F374" s="10" t="s">
        <v>75</v>
      </c>
      <c r="G374" s="39" t="s">
        <v>76</v>
      </c>
      <c r="H374" s="40">
        <v>2024</v>
      </c>
      <c r="I374" s="334">
        <v>9</v>
      </c>
      <c r="J374" s="338">
        <v>45608</v>
      </c>
      <c r="K374" s="240"/>
      <c r="L374" s="400">
        <v>8.4000000000000005E-2</v>
      </c>
      <c r="M374" s="400">
        <v>0.1157</v>
      </c>
      <c r="N374" s="405">
        <v>3.1699999999999999E-2</v>
      </c>
      <c r="O374" s="371">
        <f t="shared" si="180"/>
        <v>0</v>
      </c>
      <c r="P374" s="370">
        <v>1</v>
      </c>
      <c r="Q374" s="370">
        <f t="shared" si="179"/>
        <v>8.4000000000000005E-2</v>
      </c>
      <c r="R374" s="23">
        <v>15984</v>
      </c>
      <c r="S374" s="15">
        <v>8384287</v>
      </c>
      <c r="T374" s="382">
        <v>396100</v>
      </c>
      <c r="U374" s="382">
        <f t="shared" si="182"/>
        <v>130318.10210000002</v>
      </c>
      <c r="V374" s="6" t="s">
        <v>82</v>
      </c>
      <c r="W374" s="22" t="s">
        <v>78</v>
      </c>
      <c r="X374" s="27">
        <v>1.7</v>
      </c>
      <c r="Y374" s="27" t="s">
        <v>83</v>
      </c>
      <c r="Z374" s="27"/>
      <c r="AA374" s="16"/>
      <c r="AB374" s="393">
        <f t="shared" si="183"/>
        <v>1849.3488</v>
      </c>
      <c r="AC374" s="17"/>
      <c r="AD374" s="15">
        <f t="shared" si="184"/>
        <v>27.172799999999999</v>
      </c>
      <c r="AE374" s="10"/>
    </row>
    <row r="375" spans="1:31" s="38" customFormat="1" ht="15.75" customHeight="1">
      <c r="A375" s="6" t="s">
        <v>96</v>
      </c>
      <c r="B375" s="10" t="str">
        <f>VLOOKUP(A375,[1]Sheet1!$A:$B,2,0)</f>
        <v>MODI</v>
      </c>
      <c r="C375" s="37" t="s">
        <v>99</v>
      </c>
      <c r="D375" s="6">
        <v>353003231</v>
      </c>
      <c r="E375" s="6" t="s">
        <v>74</v>
      </c>
      <c r="F375" s="10" t="s">
        <v>75</v>
      </c>
      <c r="G375" s="39" t="s">
        <v>76</v>
      </c>
      <c r="H375" s="40">
        <v>2024</v>
      </c>
      <c r="I375" s="334">
        <v>9</v>
      </c>
      <c r="J375" s="338">
        <v>45608</v>
      </c>
      <c r="K375" s="240"/>
      <c r="L375" s="400">
        <v>0.2283</v>
      </c>
      <c r="M375" s="400">
        <v>0.26429999999999998</v>
      </c>
      <c r="N375" s="405">
        <v>3.5999999999999997E-2</v>
      </c>
      <c r="O375" s="371">
        <f t="shared" si="180"/>
        <v>0</v>
      </c>
      <c r="P375" s="370">
        <v>1</v>
      </c>
      <c r="Q375" s="370">
        <f t="shared" si="179"/>
        <v>0.2283</v>
      </c>
      <c r="R375" s="23">
        <v>0</v>
      </c>
      <c r="S375" s="15">
        <v>3925321</v>
      </c>
      <c r="T375" s="382">
        <v>450000</v>
      </c>
      <c r="U375" s="382">
        <f t="shared" si="182"/>
        <v>308688.44400000002</v>
      </c>
      <c r="V375" s="6" t="s">
        <v>82</v>
      </c>
      <c r="W375" s="22" t="s">
        <v>78</v>
      </c>
      <c r="X375" s="27">
        <v>3.5</v>
      </c>
      <c r="Y375" s="27" t="s">
        <v>83</v>
      </c>
      <c r="Z375" s="27"/>
      <c r="AA375" s="16"/>
      <c r="AB375" s="393">
        <f t="shared" si="183"/>
        <v>0</v>
      </c>
      <c r="AC375" s="17"/>
      <c r="AD375" s="15">
        <f t="shared" si="184"/>
        <v>0</v>
      </c>
      <c r="AE375" s="10"/>
    </row>
    <row r="376" spans="1:31" s="38" customFormat="1" ht="15.75" customHeight="1">
      <c r="A376" s="6" t="s">
        <v>106</v>
      </c>
      <c r="B376" s="10" t="str">
        <f>VLOOKUP(A376,[1]Sheet1!$A:$B,2,0)</f>
        <v>MODI</v>
      </c>
      <c r="C376" s="32" t="s">
        <v>112</v>
      </c>
      <c r="D376" s="31">
        <v>130040670018925</v>
      </c>
      <c r="E376" s="6" t="s">
        <v>74</v>
      </c>
      <c r="F376" s="10" t="s">
        <v>107</v>
      </c>
      <c r="G376" s="39" t="s">
        <v>76</v>
      </c>
      <c r="H376" s="40">
        <v>2024</v>
      </c>
      <c r="I376" s="334">
        <v>9</v>
      </c>
      <c r="J376" s="338">
        <v>45608</v>
      </c>
      <c r="K376" s="240"/>
      <c r="L376" s="400">
        <v>3.6999999999999998E-2</v>
      </c>
      <c r="M376" s="400">
        <v>4.2354166666666665E-2</v>
      </c>
      <c r="N376" s="405">
        <v>5.4000000000000003E-3</v>
      </c>
      <c r="O376" s="371">
        <f t="shared" si="180"/>
        <v>0</v>
      </c>
      <c r="P376" s="370">
        <v>1</v>
      </c>
      <c r="Q376" s="370">
        <f t="shared" si="179"/>
        <v>3.6999999999999998E-2</v>
      </c>
      <c r="R376" s="23">
        <v>2484000</v>
      </c>
      <c r="S376" s="15">
        <v>14693740</v>
      </c>
      <c r="T376" s="382">
        <v>514000</v>
      </c>
      <c r="U376" s="382">
        <f t="shared" si="182"/>
        <v>434653.804</v>
      </c>
      <c r="V376" s="6" t="s">
        <v>88</v>
      </c>
      <c r="W376" s="22" t="s">
        <v>78</v>
      </c>
      <c r="X376" s="27">
        <v>0.9</v>
      </c>
      <c r="Y376" s="27" t="s">
        <v>79</v>
      </c>
      <c r="Z376" s="27"/>
      <c r="AA376" s="16"/>
      <c r="AB376" s="393">
        <f t="shared" si="183"/>
        <v>105207.75</v>
      </c>
      <c r="AC376" s="17"/>
      <c r="AD376" s="15">
        <f t="shared" si="184"/>
        <v>2235.6</v>
      </c>
      <c r="AE376" s="10"/>
    </row>
    <row r="377" spans="1:31" s="38" customFormat="1" ht="15.75" customHeight="1">
      <c r="A377" s="6" t="s">
        <v>113</v>
      </c>
      <c r="B377" s="10" t="str">
        <f>VLOOKUP(A377,[1]Sheet1!$A:$B,2,0)</f>
        <v>MODI</v>
      </c>
      <c r="C377" s="32" t="s">
        <v>119</v>
      </c>
      <c r="D377" s="31">
        <v>130040670039455</v>
      </c>
      <c r="E377" s="6" t="s">
        <v>74</v>
      </c>
      <c r="F377" s="10" t="s">
        <v>120</v>
      </c>
      <c r="G377" s="39" t="s">
        <v>76</v>
      </c>
      <c r="H377" s="40">
        <v>2024</v>
      </c>
      <c r="I377" s="334">
        <v>9</v>
      </c>
      <c r="J377" s="338">
        <v>45608</v>
      </c>
      <c r="K377" s="240"/>
      <c r="L377" s="400">
        <v>6.5299999999999997E-2</v>
      </c>
      <c r="M377" s="400">
        <v>7.5899999999999995E-2</v>
      </c>
      <c r="N377" s="405">
        <v>1.06E-2</v>
      </c>
      <c r="O377" s="371">
        <f t="shared" si="180"/>
        <v>0</v>
      </c>
      <c r="P377" s="370">
        <v>1</v>
      </c>
      <c r="Q377" s="370">
        <f t="shared" si="179"/>
        <v>6.5299999999999997E-2</v>
      </c>
      <c r="R377" s="24">
        <v>3497700</v>
      </c>
      <c r="S377" s="15">
        <f>R377+S284</f>
        <v>17149772</v>
      </c>
      <c r="T377" s="382">
        <v>1020000</v>
      </c>
      <c r="U377" s="382">
        <f t="shared" si="182"/>
        <v>838212.41680000001</v>
      </c>
      <c r="V377" s="6" t="s">
        <v>115</v>
      </c>
      <c r="W377" s="22" t="s">
        <v>78</v>
      </c>
      <c r="X377" s="27">
        <v>1.33</v>
      </c>
      <c r="Y377" s="27" t="s">
        <v>93</v>
      </c>
      <c r="Z377" s="27"/>
      <c r="AA377" s="16"/>
      <c r="AB377" s="393">
        <f t="shared" si="183"/>
        <v>265475.43</v>
      </c>
      <c r="AC377" s="17"/>
      <c r="AD377" s="15">
        <f t="shared" si="184"/>
        <v>4651.9409999999998</v>
      </c>
      <c r="AE377" s="10"/>
    </row>
    <row r="378" spans="1:31" s="38" customFormat="1" ht="15.75" customHeight="1">
      <c r="A378" s="6" t="s">
        <v>113</v>
      </c>
      <c r="B378" s="10" t="str">
        <f>VLOOKUP(A378,[1]Sheet1!$A:$B,2,0)</f>
        <v>MODI</v>
      </c>
      <c r="C378" s="32" t="s">
        <v>116</v>
      </c>
      <c r="D378" s="31">
        <v>130040670023906</v>
      </c>
      <c r="E378" s="6" t="s">
        <v>74</v>
      </c>
      <c r="F378" s="10" t="s">
        <v>75</v>
      </c>
      <c r="G378" s="39" t="s">
        <v>76</v>
      </c>
      <c r="H378" s="40">
        <v>2024</v>
      </c>
      <c r="I378" s="334">
        <v>9</v>
      </c>
      <c r="J378" s="338">
        <v>45608</v>
      </c>
      <c r="K378" s="240"/>
      <c r="L378" s="400">
        <v>3.9300000000000002E-2</v>
      </c>
      <c r="M378" s="400">
        <v>4.6699999999999998E-2</v>
      </c>
      <c r="N378" s="405">
        <v>7.4000000000000003E-3</v>
      </c>
      <c r="O378" s="371">
        <f t="shared" si="180"/>
        <v>0</v>
      </c>
      <c r="P378" s="370">
        <v>1</v>
      </c>
      <c r="Q378" s="370">
        <f t="shared" si="179"/>
        <v>3.9300000000000002E-2</v>
      </c>
      <c r="R378" s="24">
        <v>1346810</v>
      </c>
      <c r="S378" s="15">
        <v>6256500</v>
      </c>
      <c r="T378" s="382">
        <v>355000</v>
      </c>
      <c r="U378" s="382">
        <f t="shared" si="182"/>
        <v>308701.90000000002</v>
      </c>
      <c r="V378" s="6" t="s">
        <v>117</v>
      </c>
      <c r="W378" s="22" t="s">
        <v>78</v>
      </c>
      <c r="X378" s="27">
        <v>0.36</v>
      </c>
      <c r="Y378" s="27" t="s">
        <v>118</v>
      </c>
      <c r="Z378" s="27"/>
      <c r="AA378" s="16"/>
      <c r="AB378" s="393">
        <f t="shared" si="183"/>
        <v>62896.026999999995</v>
      </c>
      <c r="AC378" s="17"/>
      <c r="AD378" s="15">
        <f t="shared" si="184"/>
        <v>484.85159999999996</v>
      </c>
      <c r="AE378" s="10"/>
    </row>
    <row r="379" spans="1:31" s="38" customFormat="1" ht="15.75" customHeight="1">
      <c r="A379" s="6" t="s">
        <v>113</v>
      </c>
      <c r="B379" s="10" t="str">
        <f>VLOOKUP(A379,[1]Sheet1!$A:$B,2,0)</f>
        <v>MODI</v>
      </c>
      <c r="C379" s="32" t="s">
        <v>114</v>
      </c>
      <c r="D379" s="31">
        <v>130040670023899</v>
      </c>
      <c r="E379" s="6" t="s">
        <v>74</v>
      </c>
      <c r="F379" s="10" t="s">
        <v>75</v>
      </c>
      <c r="G379" s="39" t="s">
        <v>76</v>
      </c>
      <c r="H379" s="40">
        <v>2024</v>
      </c>
      <c r="I379" s="334">
        <v>9</v>
      </c>
      <c r="J379" s="338">
        <v>45608</v>
      </c>
      <c r="K379" s="240"/>
      <c r="L379" s="400">
        <v>0.12970000000000001</v>
      </c>
      <c r="M379" s="400">
        <v>0.15260000000000001</v>
      </c>
      <c r="N379" s="405">
        <v>2.29E-2</v>
      </c>
      <c r="O379" s="371">
        <f t="shared" si="180"/>
        <v>0</v>
      </c>
      <c r="P379" s="370">
        <v>1</v>
      </c>
      <c r="Q379" s="370">
        <f t="shared" si="179"/>
        <v>0.12970000000000001</v>
      </c>
      <c r="R379" s="23">
        <v>1468019</v>
      </c>
      <c r="S379" s="15">
        <v>6260190</v>
      </c>
      <c r="T379" s="382">
        <v>1100000</v>
      </c>
      <c r="U379" s="382">
        <f t="shared" si="182"/>
        <v>956641.64899999998</v>
      </c>
      <c r="V379" s="6" t="s">
        <v>115</v>
      </c>
      <c r="W379" s="22" t="s">
        <v>78</v>
      </c>
      <c r="X379" s="27">
        <v>2.7</v>
      </c>
      <c r="Y379" s="27" t="s">
        <v>93</v>
      </c>
      <c r="Z379" s="27"/>
      <c r="AA379" s="16"/>
      <c r="AB379" s="393">
        <f t="shared" si="183"/>
        <v>224019.69940000001</v>
      </c>
      <c r="AC379" s="17"/>
      <c r="AD379" s="15">
        <f t="shared" si="184"/>
        <v>3963.6513000000004</v>
      </c>
      <c r="AE379" s="10"/>
    </row>
    <row r="380" spans="1:31" s="38" customFormat="1" ht="15.75" customHeight="1">
      <c r="A380" s="6" t="s">
        <v>113</v>
      </c>
      <c r="B380" s="10" t="str">
        <f>VLOOKUP(A380,[1]Sheet1!$A:$B,2,0)</f>
        <v>MODI</v>
      </c>
      <c r="C380" s="32" t="s">
        <v>121</v>
      </c>
      <c r="D380" s="31">
        <v>130040670039442</v>
      </c>
      <c r="E380" s="6" t="s">
        <v>74</v>
      </c>
      <c r="F380" s="10" t="s">
        <v>120</v>
      </c>
      <c r="G380" s="39" t="s">
        <v>76</v>
      </c>
      <c r="H380" s="40">
        <v>2024</v>
      </c>
      <c r="I380" s="334">
        <v>9</v>
      </c>
      <c r="J380" s="338">
        <v>45608</v>
      </c>
      <c r="K380" s="240"/>
      <c r="L380" s="400">
        <v>6.6699999999999995E-2</v>
      </c>
      <c r="M380" s="400">
        <v>7.7299999999999994E-2</v>
      </c>
      <c r="N380" s="405">
        <v>1.06E-2</v>
      </c>
      <c r="O380" s="371">
        <f t="shared" si="180"/>
        <v>0</v>
      </c>
      <c r="P380" s="370">
        <v>1</v>
      </c>
      <c r="Q380" s="370">
        <f t="shared" si="179"/>
        <v>6.6699999999999995E-2</v>
      </c>
      <c r="R380" s="24">
        <v>3659458</v>
      </c>
      <c r="S380" s="15">
        <v>17332702</v>
      </c>
      <c r="T380" s="382">
        <v>1020000</v>
      </c>
      <c r="U380" s="382">
        <f t="shared" si="182"/>
        <v>836273.35880000005</v>
      </c>
      <c r="V380" s="6" t="s">
        <v>115</v>
      </c>
      <c r="W380" s="22" t="s">
        <v>78</v>
      </c>
      <c r="X380" s="27">
        <v>1.39</v>
      </c>
      <c r="Y380" s="27" t="s">
        <v>93</v>
      </c>
      <c r="Z380" s="27"/>
      <c r="AA380" s="16"/>
      <c r="AB380" s="393">
        <f t="shared" si="183"/>
        <v>282876.10339999996</v>
      </c>
      <c r="AC380" s="17"/>
      <c r="AD380" s="15">
        <f t="shared" si="184"/>
        <v>5086.6466199999995</v>
      </c>
      <c r="AE380" s="10"/>
    </row>
    <row r="381" spans="1:31" s="38" customFormat="1" ht="15.75" customHeight="1">
      <c r="A381" s="6" t="s">
        <v>113</v>
      </c>
      <c r="B381" s="10" t="str">
        <f>VLOOKUP(A381,[1]Sheet1!$A:$B,2,0)</f>
        <v>MODI</v>
      </c>
      <c r="C381" s="32" t="s">
        <v>111</v>
      </c>
      <c r="D381" s="31">
        <v>130040670023900</v>
      </c>
      <c r="E381" s="6" t="s">
        <v>74</v>
      </c>
      <c r="F381" s="10" t="s">
        <v>75</v>
      </c>
      <c r="G381" s="39" t="s">
        <v>76</v>
      </c>
      <c r="H381" s="40">
        <v>2024</v>
      </c>
      <c r="I381" s="334">
        <v>9</v>
      </c>
      <c r="J381" s="338">
        <v>45608</v>
      </c>
      <c r="K381" s="240"/>
      <c r="L381" s="400">
        <v>0.1128</v>
      </c>
      <c r="M381" s="400">
        <v>0.1336</v>
      </c>
      <c r="N381" s="405">
        <v>2.0799999999999999E-2</v>
      </c>
      <c r="O381" s="371">
        <f t="shared" si="180"/>
        <v>0</v>
      </c>
      <c r="P381" s="370">
        <v>1</v>
      </c>
      <c r="Q381" s="370">
        <f t="shared" si="179"/>
        <v>0.1128</v>
      </c>
      <c r="R381" s="23">
        <v>1474708</v>
      </c>
      <c r="S381" s="15">
        <v>6274120</v>
      </c>
      <c r="T381" s="382">
        <v>999000</v>
      </c>
      <c r="U381" s="382">
        <f t="shared" si="182"/>
        <v>868498.304</v>
      </c>
      <c r="V381" s="6" t="s">
        <v>115</v>
      </c>
      <c r="W381" s="22" t="s">
        <v>78</v>
      </c>
      <c r="X381" s="27">
        <v>1.5</v>
      </c>
      <c r="Y381" s="27" t="s">
        <v>93</v>
      </c>
      <c r="Z381" s="27"/>
      <c r="AA381" s="16"/>
      <c r="AB381" s="393">
        <f t="shared" si="183"/>
        <v>197020.98879999999</v>
      </c>
      <c r="AC381" s="17"/>
      <c r="AD381" s="15">
        <f t="shared" si="184"/>
        <v>2212.0619999999999</v>
      </c>
      <c r="AE381" s="10"/>
    </row>
    <row r="382" spans="1:31" s="38" customFormat="1" ht="15.75" customHeight="1">
      <c r="A382" s="6" t="s">
        <v>113</v>
      </c>
      <c r="B382" s="10" t="str">
        <f>VLOOKUP(A382,[1]Sheet1!$A:$B,2,0)</f>
        <v>MODI</v>
      </c>
      <c r="C382" s="32" t="s">
        <v>122</v>
      </c>
      <c r="D382" s="31">
        <v>130040670017669</v>
      </c>
      <c r="E382" s="6" t="s">
        <v>74</v>
      </c>
      <c r="F382" s="10" t="s">
        <v>123</v>
      </c>
      <c r="G382" s="39" t="s">
        <v>76</v>
      </c>
      <c r="H382" s="40">
        <v>2024</v>
      </c>
      <c r="I382" s="334">
        <v>9</v>
      </c>
      <c r="J382" s="338">
        <v>45608</v>
      </c>
      <c r="K382" s="240"/>
      <c r="L382" s="400">
        <v>6.1499999999999999E-2</v>
      </c>
      <c r="M382" s="400">
        <v>6.9400000000000003E-2</v>
      </c>
      <c r="N382" s="405">
        <v>7.9000000000000008E-3</v>
      </c>
      <c r="O382" s="371">
        <f t="shared" si="180"/>
        <v>0</v>
      </c>
      <c r="P382" s="370">
        <v>1</v>
      </c>
      <c r="Q382" s="370">
        <f t="shared" si="179"/>
        <v>6.1499999999999999E-2</v>
      </c>
      <c r="R382" s="24">
        <v>3962496</v>
      </c>
      <c r="S382" s="15">
        <v>20452608</v>
      </c>
      <c r="T382" s="382">
        <v>760000</v>
      </c>
      <c r="U382" s="382">
        <f t="shared" si="182"/>
        <v>598424.39679999999</v>
      </c>
      <c r="V382" s="6" t="s">
        <v>115</v>
      </c>
      <c r="W382" s="22" t="s">
        <v>78</v>
      </c>
      <c r="X382" s="27">
        <v>1.1000000000000001</v>
      </c>
      <c r="Y382" s="27" t="s">
        <v>93</v>
      </c>
      <c r="Z382" s="27"/>
      <c r="AA382" s="16"/>
      <c r="AB382" s="393">
        <f t="shared" si="183"/>
        <v>274997.22240000003</v>
      </c>
      <c r="AC382" s="17"/>
      <c r="AD382" s="15">
        <f t="shared" si="184"/>
        <v>4358.7456000000002</v>
      </c>
      <c r="AE382" s="10"/>
    </row>
    <row r="383" spans="1:31" s="38" customFormat="1" ht="15.75" customHeight="1">
      <c r="A383" s="6" t="s">
        <v>124</v>
      </c>
      <c r="B383" s="10" t="str">
        <f>VLOOKUP(A383,[1]Sheet1!$A:$B,2,0)</f>
        <v>MODI</v>
      </c>
      <c r="C383" s="32" t="s">
        <v>100</v>
      </c>
      <c r="D383" s="31">
        <v>130040670021245</v>
      </c>
      <c r="E383" s="6" t="s">
        <v>74</v>
      </c>
      <c r="F383" s="10" t="s">
        <v>125</v>
      </c>
      <c r="G383" s="39" t="s">
        <v>76</v>
      </c>
      <c r="H383" s="40">
        <v>2024</v>
      </c>
      <c r="I383" s="334">
        <v>9</v>
      </c>
      <c r="J383" s="338">
        <v>45608</v>
      </c>
      <c r="K383" s="240"/>
      <c r="L383" s="400">
        <v>0.28100000000000003</v>
      </c>
      <c r="M383" s="400">
        <v>0.30070000000000002</v>
      </c>
      <c r="N383" s="405">
        <v>1.9699999999999999E-2</v>
      </c>
      <c r="O383" s="371">
        <f t="shared" si="180"/>
        <v>0</v>
      </c>
      <c r="P383" s="370">
        <v>1</v>
      </c>
      <c r="Q383" s="370">
        <f t="shared" si="179"/>
        <v>0.28100000000000003</v>
      </c>
      <c r="R383" s="24">
        <v>5499718</v>
      </c>
      <c r="S383" s="15">
        <v>25138986</v>
      </c>
      <c r="T383" s="382">
        <v>3150000</v>
      </c>
      <c r="U383" s="382">
        <f t="shared" si="182"/>
        <v>2654761.9758000001</v>
      </c>
      <c r="V383" s="6" t="s">
        <v>88</v>
      </c>
      <c r="W383" s="22" t="s">
        <v>78</v>
      </c>
      <c r="X383" s="27">
        <v>4.5</v>
      </c>
      <c r="Y383" s="27" t="s">
        <v>79</v>
      </c>
      <c r="Z383" s="27"/>
      <c r="AA383" s="16"/>
      <c r="AB383" s="393">
        <f t="shared" si="183"/>
        <v>1653765.2026000002</v>
      </c>
      <c r="AC383" s="17"/>
      <c r="AD383" s="15">
        <f t="shared" si="184"/>
        <v>24748.731</v>
      </c>
      <c r="AE383" s="10"/>
    </row>
    <row r="384" spans="1:31" s="38" customFormat="1" ht="15.75" customHeight="1">
      <c r="A384" s="6" t="s">
        <v>124</v>
      </c>
      <c r="B384" s="10" t="str">
        <f>VLOOKUP(A384,[1]Sheet1!$A:$B,2,0)</f>
        <v>MODI</v>
      </c>
      <c r="C384" s="32" t="s">
        <v>104</v>
      </c>
      <c r="D384" s="31">
        <v>130040670021246</v>
      </c>
      <c r="E384" s="6" t="s">
        <v>74</v>
      </c>
      <c r="F384" s="10" t="s">
        <v>125</v>
      </c>
      <c r="G384" s="39" t="s">
        <v>76</v>
      </c>
      <c r="H384" s="40">
        <v>2024</v>
      </c>
      <c r="I384" s="334">
        <v>9</v>
      </c>
      <c r="J384" s="338">
        <v>45608</v>
      </c>
      <c r="K384" s="240"/>
      <c r="L384" s="400">
        <v>4.7E-2</v>
      </c>
      <c r="M384" s="400">
        <v>5.6399999999999999E-2</v>
      </c>
      <c r="N384" s="405">
        <v>9.4000000000000004E-3</v>
      </c>
      <c r="O384" s="371">
        <f t="shared" si="180"/>
        <v>0</v>
      </c>
      <c r="P384" s="370">
        <v>1</v>
      </c>
      <c r="Q384" s="370">
        <f t="shared" si="179"/>
        <v>4.7E-2</v>
      </c>
      <c r="R384" s="24">
        <v>5454431</v>
      </c>
      <c r="S384" s="15">
        <v>23627818</v>
      </c>
      <c r="T384" s="382">
        <v>1350000</v>
      </c>
      <c r="U384" s="382">
        <f t="shared" si="182"/>
        <v>1127898.5108</v>
      </c>
      <c r="V384" s="6" t="s">
        <v>88</v>
      </c>
      <c r="W384" s="22" t="s">
        <v>78</v>
      </c>
      <c r="X384" s="27">
        <v>0.5</v>
      </c>
      <c r="Y384" s="27" t="s">
        <v>79</v>
      </c>
      <c r="Z384" s="27"/>
      <c r="AA384" s="16"/>
      <c r="AB384" s="393">
        <f t="shared" si="183"/>
        <v>307629.90840000001</v>
      </c>
      <c r="AC384" s="17"/>
      <c r="AD384" s="15">
        <f t="shared" si="184"/>
        <v>2727.2154999999998</v>
      </c>
      <c r="AE384" s="10"/>
    </row>
    <row r="385" spans="1:31" s="38" customFormat="1" ht="15.75" customHeight="1">
      <c r="A385" s="6" t="s">
        <v>124</v>
      </c>
      <c r="B385" s="10" t="str">
        <f>VLOOKUP(A385,[1]Sheet1!$A:$B,2,0)</f>
        <v>MODI</v>
      </c>
      <c r="C385" s="32" t="s">
        <v>108</v>
      </c>
      <c r="D385" s="31">
        <v>130040670026558</v>
      </c>
      <c r="E385" s="6" t="s">
        <v>74</v>
      </c>
      <c r="F385" s="10" t="s">
        <v>125</v>
      </c>
      <c r="G385" s="39" t="s">
        <v>76</v>
      </c>
      <c r="H385" s="40">
        <v>2024</v>
      </c>
      <c r="I385" s="334">
        <v>9</v>
      </c>
      <c r="J385" s="338">
        <v>45608</v>
      </c>
      <c r="K385" s="240"/>
      <c r="L385" s="400">
        <v>0.06</v>
      </c>
      <c r="M385" s="400">
        <v>7.0599999999999996E-2</v>
      </c>
      <c r="N385" s="405">
        <v>1.06E-2</v>
      </c>
      <c r="O385" s="371">
        <f t="shared" si="180"/>
        <v>0</v>
      </c>
      <c r="P385" s="370">
        <v>1</v>
      </c>
      <c r="Q385" s="370">
        <f t="shared" si="179"/>
        <v>0.06</v>
      </c>
      <c r="R385" s="24">
        <v>5814180</v>
      </c>
      <c r="S385" s="15">
        <v>24257980</v>
      </c>
      <c r="T385" s="382">
        <v>1530000</v>
      </c>
      <c r="U385" s="382">
        <f t="shared" si="182"/>
        <v>1272865.412</v>
      </c>
      <c r="V385" s="6" t="s">
        <v>88</v>
      </c>
      <c r="W385" s="22" t="s">
        <v>78</v>
      </c>
      <c r="X385" s="27">
        <v>0.9</v>
      </c>
      <c r="Y385" s="27" t="s">
        <v>79</v>
      </c>
      <c r="Z385" s="27"/>
      <c r="AA385" s="16"/>
      <c r="AB385" s="393">
        <f t="shared" si="183"/>
        <v>410481.10799999995</v>
      </c>
      <c r="AC385" s="17"/>
      <c r="AD385" s="15">
        <f t="shared" si="184"/>
        <v>5232.7619999999997</v>
      </c>
      <c r="AE385" s="10"/>
    </row>
    <row r="386" spans="1:31" s="38" customFormat="1" ht="15.75" customHeight="1">
      <c r="A386" s="6" t="s">
        <v>124</v>
      </c>
      <c r="B386" s="10" t="str">
        <f>VLOOKUP(A386,[1]Sheet1!$A:$B,2,0)</f>
        <v>MODI</v>
      </c>
      <c r="C386" s="32" t="s">
        <v>126</v>
      </c>
      <c r="D386" s="31">
        <v>130040670021244</v>
      </c>
      <c r="E386" s="6" t="s">
        <v>74</v>
      </c>
      <c r="F386" s="10" t="s">
        <v>75</v>
      </c>
      <c r="G386" s="39" t="s">
        <v>76</v>
      </c>
      <c r="H386" s="40">
        <v>2024</v>
      </c>
      <c r="I386" s="334">
        <v>9</v>
      </c>
      <c r="J386" s="338">
        <v>45608</v>
      </c>
      <c r="K386" s="240"/>
      <c r="L386" s="400">
        <v>0.12</v>
      </c>
      <c r="M386" s="400">
        <v>0.1331</v>
      </c>
      <c r="N386" s="405">
        <v>1.3100000000000001E-2</v>
      </c>
      <c r="O386" s="371">
        <f t="shared" si="180"/>
        <v>0</v>
      </c>
      <c r="P386" s="370">
        <v>1</v>
      </c>
      <c r="Q386" s="370">
        <f t="shared" si="179"/>
        <v>0.12</v>
      </c>
      <c r="R386" s="24">
        <v>4133512</v>
      </c>
      <c r="S386" s="15">
        <v>14656293</v>
      </c>
      <c r="T386" s="382">
        <v>1260000</v>
      </c>
      <c r="U386" s="382">
        <f t="shared" si="182"/>
        <v>1068002.5617</v>
      </c>
      <c r="V386" s="6" t="s">
        <v>115</v>
      </c>
      <c r="W386" s="22" t="s">
        <v>78</v>
      </c>
      <c r="X386" s="27">
        <v>3.42</v>
      </c>
      <c r="Y386" s="27" t="s">
        <v>93</v>
      </c>
      <c r="Z386" s="27"/>
      <c r="AA386" s="16"/>
      <c r="AB386" s="393">
        <f t="shared" si="183"/>
        <v>550170.44719999994</v>
      </c>
      <c r="AC386" s="17"/>
      <c r="AD386" s="15">
        <f t="shared" si="184"/>
        <v>14136.61104</v>
      </c>
      <c r="AE386" s="10"/>
    </row>
    <row r="387" spans="1:31" s="38" customFormat="1" ht="15.75" customHeight="1">
      <c r="A387" s="6" t="s">
        <v>127</v>
      </c>
      <c r="B387" s="10" t="str">
        <f>VLOOKUP(A387,[1]Sheet1!$A:$B,2,0)</f>
        <v>MODI</v>
      </c>
      <c r="C387" s="32" t="s">
        <v>129</v>
      </c>
      <c r="D387" s="31">
        <v>130040670017658</v>
      </c>
      <c r="E387" s="6" t="s">
        <v>74</v>
      </c>
      <c r="F387" s="10" t="s">
        <v>75</v>
      </c>
      <c r="G387" s="39" t="s">
        <v>76</v>
      </c>
      <c r="H387" s="40">
        <v>2024</v>
      </c>
      <c r="I387" s="334">
        <v>9</v>
      </c>
      <c r="J387" s="338">
        <v>45608</v>
      </c>
      <c r="K387" s="240"/>
      <c r="L387" s="400">
        <v>4.3999999999999997E-2</v>
      </c>
      <c r="M387" s="400">
        <v>5.0799999999999998E-2</v>
      </c>
      <c r="N387" s="405">
        <v>6.7999999999999996E-3</v>
      </c>
      <c r="O387" s="371">
        <f t="shared" si="180"/>
        <v>0</v>
      </c>
      <c r="P387" s="370">
        <v>1</v>
      </c>
      <c r="Q387" s="370">
        <f t="shared" si="179"/>
        <v>4.3999999999999997E-2</v>
      </c>
      <c r="R387" s="24">
        <v>1206000</v>
      </c>
      <c r="S387" s="15">
        <f>S329+R387</f>
        <v>3539010</v>
      </c>
      <c r="T387" s="382">
        <v>325000</v>
      </c>
      <c r="U387" s="382">
        <f t="shared" si="182"/>
        <v>300934.73200000002</v>
      </c>
      <c r="V387" s="6" t="s">
        <v>117</v>
      </c>
      <c r="W387" s="22" t="s">
        <v>78</v>
      </c>
      <c r="X387" s="27">
        <v>0.8</v>
      </c>
      <c r="Y387" s="27" t="s">
        <v>118</v>
      </c>
      <c r="Z387" s="27"/>
      <c r="AA387" s="16"/>
      <c r="AB387" s="393">
        <f t="shared" si="183"/>
        <v>61264.799999999996</v>
      </c>
      <c r="AC387" s="17"/>
      <c r="AD387" s="15">
        <f t="shared" si="184"/>
        <v>964.8</v>
      </c>
      <c r="AE387" s="10"/>
    </row>
    <row r="388" spans="1:31" s="38" customFormat="1" ht="15.75" customHeight="1">
      <c r="A388" s="6" t="s">
        <v>127</v>
      </c>
      <c r="B388" s="10" t="str">
        <f>VLOOKUP(A388,[1]Sheet1!$A:$B,2,0)</f>
        <v>MODI</v>
      </c>
      <c r="C388" s="32" t="s">
        <v>111</v>
      </c>
      <c r="D388" s="31">
        <v>130040670017656</v>
      </c>
      <c r="E388" s="6" t="s">
        <v>74</v>
      </c>
      <c r="F388" s="10" t="s">
        <v>75</v>
      </c>
      <c r="G388" s="39" t="s">
        <v>76</v>
      </c>
      <c r="H388" s="40">
        <v>2024</v>
      </c>
      <c r="I388" s="334">
        <v>9</v>
      </c>
      <c r="J388" s="338">
        <v>45608</v>
      </c>
      <c r="K388" s="240"/>
      <c r="L388" s="400">
        <v>9.6000000000000002E-2</v>
      </c>
      <c r="M388" s="400">
        <v>0.1069</v>
      </c>
      <c r="N388" s="405">
        <v>1.09E-2</v>
      </c>
      <c r="O388" s="371">
        <f t="shared" si="180"/>
        <v>0</v>
      </c>
      <c r="P388" s="370">
        <v>1</v>
      </c>
      <c r="Q388" s="370">
        <f t="shared" si="179"/>
        <v>9.6000000000000002E-2</v>
      </c>
      <c r="R388" s="24">
        <v>467426</v>
      </c>
      <c r="S388" s="15">
        <v>2884090</v>
      </c>
      <c r="T388" s="382">
        <v>525000</v>
      </c>
      <c r="U388" s="382">
        <f t="shared" si="182"/>
        <v>493563.41899999999</v>
      </c>
      <c r="V388" s="6" t="s">
        <v>115</v>
      </c>
      <c r="W388" s="22" t="s">
        <v>78</v>
      </c>
      <c r="X388" s="27">
        <v>2.4</v>
      </c>
      <c r="Y388" s="27" t="s">
        <v>93</v>
      </c>
      <c r="Z388" s="27"/>
      <c r="AA388" s="16"/>
      <c r="AB388" s="393">
        <f t="shared" si="183"/>
        <v>49967.839399999997</v>
      </c>
      <c r="AC388" s="17"/>
      <c r="AD388" s="15">
        <f t="shared" si="184"/>
        <v>1121.8224</v>
      </c>
      <c r="AE388" s="10"/>
    </row>
    <row r="389" spans="1:31" s="38" customFormat="1" ht="15.75" customHeight="1">
      <c r="A389" s="6" t="s">
        <v>127</v>
      </c>
      <c r="B389" s="10" t="str">
        <f>VLOOKUP(A389,[1]Sheet1!$A:$B,2,0)</f>
        <v>MODI</v>
      </c>
      <c r="C389" s="32" t="s">
        <v>114</v>
      </c>
      <c r="D389" s="31">
        <v>130040670017662</v>
      </c>
      <c r="E389" s="6" t="s">
        <v>74</v>
      </c>
      <c r="F389" s="10" t="s">
        <v>75</v>
      </c>
      <c r="G389" s="39" t="s">
        <v>76</v>
      </c>
      <c r="H389" s="40">
        <v>2024</v>
      </c>
      <c r="I389" s="334">
        <v>9</v>
      </c>
      <c r="J389" s="338">
        <v>45608</v>
      </c>
      <c r="K389" s="240"/>
      <c r="L389" s="400">
        <v>4.8000000000000001E-2</v>
      </c>
      <c r="M389" s="400">
        <v>6.0299999999999999E-2</v>
      </c>
      <c r="N389" s="405">
        <v>1.23E-2</v>
      </c>
      <c r="O389" s="371">
        <f t="shared" si="180"/>
        <v>0</v>
      </c>
      <c r="P389" s="370">
        <v>1</v>
      </c>
      <c r="Q389" s="370">
        <f t="shared" si="179"/>
        <v>4.8000000000000001E-2</v>
      </c>
      <c r="R389" s="24">
        <v>585000</v>
      </c>
      <c r="S389" s="15">
        <v>2855564</v>
      </c>
      <c r="T389" s="382">
        <v>589000</v>
      </c>
      <c r="U389" s="382">
        <f t="shared" si="182"/>
        <v>553876.56279999996</v>
      </c>
      <c r="V389" s="6" t="s">
        <v>115</v>
      </c>
      <c r="W389" s="22" t="s">
        <v>78</v>
      </c>
      <c r="X389" s="27">
        <v>0.67</v>
      </c>
      <c r="Y389" s="27" t="s">
        <v>93</v>
      </c>
      <c r="Z389" s="27"/>
      <c r="AA389" s="16"/>
      <c r="AB389" s="393">
        <f t="shared" si="183"/>
        <v>35275.5</v>
      </c>
      <c r="AC389" s="17"/>
      <c r="AD389" s="15">
        <f t="shared" si="184"/>
        <v>391.95</v>
      </c>
      <c r="AE389" s="10"/>
    </row>
    <row r="390" spans="1:31" s="38" customFormat="1" ht="15.75" customHeight="1">
      <c r="A390" s="6" t="s">
        <v>130</v>
      </c>
      <c r="B390" s="10" t="str">
        <f>VLOOKUP(A390,[1]Sheet1!$A:$B,2,0)</f>
        <v>MODI</v>
      </c>
      <c r="C390" s="32" t="s">
        <v>100</v>
      </c>
      <c r="D390" s="31">
        <v>130040670023444</v>
      </c>
      <c r="E390" s="6" t="s">
        <v>74</v>
      </c>
      <c r="F390" s="10" t="s">
        <v>75</v>
      </c>
      <c r="G390" s="39" t="s">
        <v>76</v>
      </c>
      <c r="H390" s="40">
        <v>2024</v>
      </c>
      <c r="I390" s="334">
        <v>9</v>
      </c>
      <c r="J390" s="338">
        <v>45608</v>
      </c>
      <c r="K390" s="240"/>
      <c r="L390" s="400">
        <v>0.7006</v>
      </c>
      <c r="M390" s="400">
        <v>0.7419</v>
      </c>
      <c r="N390" s="405">
        <v>4.1300000000000003E-2</v>
      </c>
      <c r="O390" s="371">
        <f t="shared" si="180"/>
        <v>0</v>
      </c>
      <c r="P390" s="370">
        <v>1</v>
      </c>
      <c r="Q390" s="370">
        <f t="shared" si="179"/>
        <v>0.7006</v>
      </c>
      <c r="R390" s="24">
        <v>1601403</v>
      </c>
      <c r="S390" s="15">
        <v>9864667</v>
      </c>
      <c r="T390" s="382">
        <v>1980000</v>
      </c>
      <c r="U390" s="382">
        <f t="shared" si="182"/>
        <v>1572589.2529</v>
      </c>
      <c r="V390" s="6" t="s">
        <v>88</v>
      </c>
      <c r="W390" s="22" t="s">
        <v>78</v>
      </c>
      <c r="X390" s="27">
        <v>10.1</v>
      </c>
      <c r="Y390" s="27" t="s">
        <v>79</v>
      </c>
      <c r="Z390" s="27"/>
      <c r="AA390" s="16"/>
      <c r="AB390" s="393">
        <f t="shared" si="183"/>
        <v>1188080.8857</v>
      </c>
      <c r="AC390" s="17"/>
      <c r="AD390" s="15">
        <f t="shared" si="184"/>
        <v>16174.1703</v>
      </c>
      <c r="AE390" s="10"/>
    </row>
    <row r="391" spans="1:31" s="38" customFormat="1" ht="15.75" customHeight="1">
      <c r="A391" s="6" t="s">
        <v>130</v>
      </c>
      <c r="B391" s="10" t="str">
        <f>VLOOKUP(A391,[1]Sheet1!$A:$B,2,0)</f>
        <v>MODI</v>
      </c>
      <c r="C391" s="32" t="s">
        <v>114</v>
      </c>
      <c r="D391" s="31">
        <v>130040670023440</v>
      </c>
      <c r="E391" s="6" t="s">
        <v>74</v>
      </c>
      <c r="F391" s="10" t="s">
        <v>134</v>
      </c>
      <c r="G391" s="39" t="s">
        <v>76</v>
      </c>
      <c r="H391" s="40">
        <v>2024</v>
      </c>
      <c r="I391" s="334">
        <v>9</v>
      </c>
      <c r="J391" s="338">
        <v>45608</v>
      </c>
      <c r="K391" s="240"/>
      <c r="L391" s="400">
        <v>0.12970000000000001</v>
      </c>
      <c r="M391" s="400">
        <v>0.15260000000000001</v>
      </c>
      <c r="N391" s="405">
        <v>2.29E-2</v>
      </c>
      <c r="O391" s="371">
        <f t="shared" si="180"/>
        <v>0</v>
      </c>
      <c r="P391" s="370">
        <v>1</v>
      </c>
      <c r="Q391" s="370">
        <f t="shared" si="179"/>
        <v>0.12970000000000001</v>
      </c>
      <c r="R391" s="24">
        <v>2217379</v>
      </c>
      <c r="S391" s="15">
        <f>R391+S349</f>
        <v>10717874</v>
      </c>
      <c r="T391" s="382">
        <v>1100000</v>
      </c>
      <c r="U391" s="382">
        <f t="shared" si="182"/>
        <v>854560.68539999996</v>
      </c>
      <c r="V391" s="6" t="s">
        <v>115</v>
      </c>
      <c r="W391" s="22" t="s">
        <v>78</v>
      </c>
      <c r="X391" s="27">
        <v>2.4</v>
      </c>
      <c r="Y391" s="27" t="s">
        <v>93</v>
      </c>
      <c r="Z391" s="27"/>
      <c r="AA391" s="16"/>
      <c r="AB391" s="393">
        <f t="shared" si="183"/>
        <v>338372.03540000005</v>
      </c>
      <c r="AC391" s="17"/>
      <c r="AD391" s="15">
        <f t="shared" si="184"/>
        <v>5321.7095999999992</v>
      </c>
      <c r="AE391" s="10"/>
    </row>
    <row r="392" spans="1:31" s="38" customFormat="1" ht="15.75" customHeight="1">
      <c r="A392" s="6" t="s">
        <v>130</v>
      </c>
      <c r="B392" s="10" t="str">
        <f>VLOOKUP(A392,[1]Sheet1!$A:$B,2,0)</f>
        <v>MODI</v>
      </c>
      <c r="C392" s="32" t="s">
        <v>111</v>
      </c>
      <c r="D392" s="31">
        <v>130040670023442</v>
      </c>
      <c r="E392" s="6" t="s">
        <v>74</v>
      </c>
      <c r="F392" s="10" t="s">
        <v>134</v>
      </c>
      <c r="G392" s="39" t="s">
        <v>76</v>
      </c>
      <c r="H392" s="40">
        <v>2024</v>
      </c>
      <c r="I392" s="334">
        <v>9</v>
      </c>
      <c r="J392" s="338">
        <v>45608</v>
      </c>
      <c r="K392" s="240"/>
      <c r="L392" s="400">
        <v>0.1135</v>
      </c>
      <c r="M392" s="400">
        <v>0.1343</v>
      </c>
      <c r="N392" s="405">
        <v>2.0799999999999999E-2</v>
      </c>
      <c r="O392" s="371">
        <f t="shared" si="180"/>
        <v>0</v>
      </c>
      <c r="P392" s="370">
        <v>1</v>
      </c>
      <c r="Q392" s="370">
        <f t="shared" si="179"/>
        <v>0.1135</v>
      </c>
      <c r="R392" s="24">
        <v>1926628</v>
      </c>
      <c r="S392" s="15">
        <f>R392+S354</f>
        <v>10442598</v>
      </c>
      <c r="T392" s="382">
        <v>999000</v>
      </c>
      <c r="U392" s="382">
        <f t="shared" si="182"/>
        <v>781793.96160000004</v>
      </c>
      <c r="V392" s="6" t="s">
        <v>115</v>
      </c>
      <c r="W392" s="22" t="s">
        <v>78</v>
      </c>
      <c r="X392" s="27">
        <v>1.8</v>
      </c>
      <c r="Y392" s="27" t="s">
        <v>93</v>
      </c>
      <c r="Z392" s="27"/>
      <c r="AA392" s="16"/>
      <c r="AB392" s="393">
        <f t="shared" si="183"/>
        <v>258746.1404</v>
      </c>
      <c r="AC392" s="17"/>
      <c r="AD392" s="15">
        <f t="shared" si="184"/>
        <v>3467.9303999999997</v>
      </c>
      <c r="AE392" s="10"/>
    </row>
    <row r="393" spans="1:31" s="38" customFormat="1" ht="15.75" customHeight="1">
      <c r="A393" s="6" t="s">
        <v>130</v>
      </c>
      <c r="B393" s="10" t="str">
        <f>VLOOKUP(A393,[1]Sheet1!$A:$B,2,0)</f>
        <v>MODI</v>
      </c>
      <c r="C393" s="32" t="s">
        <v>108</v>
      </c>
      <c r="D393" s="31">
        <v>130040670023448</v>
      </c>
      <c r="E393" s="6" t="s">
        <v>74</v>
      </c>
      <c r="F393" s="10" t="s">
        <v>131</v>
      </c>
      <c r="G393" s="39" t="s">
        <v>76</v>
      </c>
      <c r="H393" s="40">
        <v>2024</v>
      </c>
      <c r="I393" s="334">
        <v>9</v>
      </c>
      <c r="J393" s="338">
        <v>45608</v>
      </c>
      <c r="K393" s="240"/>
      <c r="L393" s="400">
        <v>0.1056</v>
      </c>
      <c r="M393" s="400">
        <v>0.11840000000000001</v>
      </c>
      <c r="N393" s="405">
        <v>1.2800000000000001E-2</v>
      </c>
      <c r="O393" s="371">
        <f t="shared" si="180"/>
        <v>0</v>
      </c>
      <c r="P393" s="370">
        <v>1</v>
      </c>
      <c r="Q393" s="370">
        <f t="shared" si="179"/>
        <v>0.1056</v>
      </c>
      <c r="R393" s="24">
        <v>691200</v>
      </c>
      <c r="S393" s="15">
        <f>R393+S344</f>
        <v>8996200</v>
      </c>
      <c r="T393" s="382">
        <v>615000</v>
      </c>
      <c r="U393" s="382">
        <f t="shared" si="182"/>
        <v>499848.64</v>
      </c>
      <c r="V393" s="6" t="s">
        <v>88</v>
      </c>
      <c r="W393" s="22" t="s">
        <v>78</v>
      </c>
      <c r="X393" s="27">
        <v>1.4</v>
      </c>
      <c r="Y393" s="27" t="s">
        <v>79</v>
      </c>
      <c r="Z393" s="27"/>
      <c r="AA393" s="16"/>
      <c r="AB393" s="393">
        <f t="shared" si="183"/>
        <v>81838.080000000002</v>
      </c>
      <c r="AC393" s="17"/>
      <c r="AD393" s="15">
        <f t="shared" si="184"/>
        <v>967.67999999999984</v>
      </c>
      <c r="AE393" s="10"/>
    </row>
    <row r="394" spans="1:31" s="38" customFormat="1" ht="15.75" customHeight="1">
      <c r="A394" s="6" t="s">
        <v>130</v>
      </c>
      <c r="B394" s="10" t="str">
        <f>VLOOKUP(A394,[1]Sheet1!$A:$B,2,0)</f>
        <v>MODI</v>
      </c>
      <c r="C394" s="32" t="s">
        <v>104</v>
      </c>
      <c r="D394" s="31">
        <v>130040670023445</v>
      </c>
      <c r="E394" s="6" t="s">
        <v>74</v>
      </c>
      <c r="F394" s="10" t="s">
        <v>134</v>
      </c>
      <c r="G394" s="39" t="s">
        <v>76</v>
      </c>
      <c r="H394" s="40">
        <v>2024</v>
      </c>
      <c r="I394" s="334">
        <v>9</v>
      </c>
      <c r="J394" s="338">
        <v>45608</v>
      </c>
      <c r="K394" s="240"/>
      <c r="L394" s="400">
        <v>9.5299999999999996E-2</v>
      </c>
      <c r="M394" s="400">
        <v>0.1072</v>
      </c>
      <c r="N394" s="405">
        <v>1.1900000000000001E-2</v>
      </c>
      <c r="O394" s="371">
        <f t="shared" si="180"/>
        <v>0</v>
      </c>
      <c r="P394" s="370">
        <v>1</v>
      </c>
      <c r="Q394" s="370">
        <f t="shared" ref="Q394:Q457" si="185">P394*L394</f>
        <v>9.5299999999999996E-2</v>
      </c>
      <c r="R394" s="24">
        <v>999000</v>
      </c>
      <c r="S394" s="15">
        <f>R394+S339</f>
        <v>9488800</v>
      </c>
      <c r="T394" s="382">
        <v>570000</v>
      </c>
      <c r="U394" s="382">
        <f t="shared" si="182"/>
        <v>457083.28</v>
      </c>
      <c r="V394" s="6" t="s">
        <v>88</v>
      </c>
      <c r="W394" s="22" t="s">
        <v>78</v>
      </c>
      <c r="X394" s="27">
        <v>1.2</v>
      </c>
      <c r="Y394" s="27" t="s">
        <v>79</v>
      </c>
      <c r="Z394" s="27"/>
      <c r="AA394" s="16"/>
      <c r="AB394" s="393">
        <f t="shared" si="183"/>
        <v>107092.8</v>
      </c>
      <c r="AC394" s="17"/>
      <c r="AD394" s="15">
        <f t="shared" si="184"/>
        <v>1198.8</v>
      </c>
      <c r="AE394" s="10"/>
    </row>
    <row r="395" spans="1:31" s="38" customFormat="1" ht="15.75" customHeight="1">
      <c r="A395" s="6" t="s">
        <v>130</v>
      </c>
      <c r="B395" s="10" t="str">
        <f>VLOOKUP(A395,[1]Sheet1!$A:$B,2,0)</f>
        <v>MODI</v>
      </c>
      <c r="C395" s="32" t="s">
        <v>133</v>
      </c>
      <c r="D395" s="31">
        <v>130040670023443</v>
      </c>
      <c r="E395" s="6" t="s">
        <v>74</v>
      </c>
      <c r="F395" s="10" t="s">
        <v>75</v>
      </c>
      <c r="G395" s="39" t="s">
        <v>76</v>
      </c>
      <c r="H395" s="40">
        <v>2024</v>
      </c>
      <c r="I395" s="334">
        <v>9</v>
      </c>
      <c r="J395" s="338">
        <v>45608</v>
      </c>
      <c r="K395" s="240"/>
      <c r="L395" s="400">
        <v>5.2299999999999999E-2</v>
      </c>
      <c r="M395" s="400">
        <v>5.8900000000000001E-2</v>
      </c>
      <c r="N395" s="405">
        <v>6.6E-3</v>
      </c>
      <c r="O395" s="371">
        <f t="shared" si="180"/>
        <v>0</v>
      </c>
      <c r="P395" s="370">
        <v>1</v>
      </c>
      <c r="Q395" s="370">
        <f t="shared" si="185"/>
        <v>5.2299999999999999E-2</v>
      </c>
      <c r="R395" s="24">
        <v>1710000</v>
      </c>
      <c r="S395" s="15">
        <f>R395+S364</f>
        <v>9946040</v>
      </c>
      <c r="T395" s="382">
        <v>315000</v>
      </c>
      <c r="U395" s="382">
        <f t="shared" si="182"/>
        <v>249356.136</v>
      </c>
      <c r="V395" s="6" t="s">
        <v>101</v>
      </c>
      <c r="W395" s="22" t="s">
        <v>78</v>
      </c>
      <c r="X395" s="27">
        <v>1.06</v>
      </c>
      <c r="Y395" s="6" t="s">
        <v>103</v>
      </c>
      <c r="Z395" s="6"/>
      <c r="AA395" s="16"/>
      <c r="AB395" s="393">
        <f t="shared" si="183"/>
        <v>100719</v>
      </c>
      <c r="AC395" s="17"/>
      <c r="AD395" s="15">
        <f t="shared" si="184"/>
        <v>1812.6</v>
      </c>
      <c r="AE395" s="10"/>
    </row>
    <row r="396" spans="1:31" s="38" customFormat="1" ht="15.75" customHeight="1">
      <c r="A396" s="6" t="s">
        <v>130</v>
      </c>
      <c r="B396" s="10" t="str">
        <f>VLOOKUP(A396,[1]Sheet1!$A:$B,2,0)</f>
        <v>MODI</v>
      </c>
      <c r="C396" s="32" t="s">
        <v>132</v>
      </c>
      <c r="D396" s="31">
        <v>130040670024534</v>
      </c>
      <c r="E396" s="6" t="s">
        <v>74</v>
      </c>
      <c r="F396" s="10" t="s">
        <v>134</v>
      </c>
      <c r="G396" s="39" t="s">
        <v>76</v>
      </c>
      <c r="H396" s="40">
        <v>2024</v>
      </c>
      <c r="I396" s="334">
        <v>9</v>
      </c>
      <c r="J396" s="338">
        <v>45608</v>
      </c>
      <c r="K396" s="240"/>
      <c r="L396" s="400">
        <v>3.4099999999999998E-2</v>
      </c>
      <c r="M396" s="400">
        <v>4.1300000000000003E-2</v>
      </c>
      <c r="N396" s="405">
        <v>7.1999999999999998E-3</v>
      </c>
      <c r="O396" s="371">
        <f t="shared" si="180"/>
        <v>0</v>
      </c>
      <c r="P396" s="370">
        <v>1</v>
      </c>
      <c r="Q396" s="370">
        <f t="shared" si="185"/>
        <v>3.4099999999999998E-2</v>
      </c>
      <c r="R396" s="24">
        <v>1793641</v>
      </c>
      <c r="S396" s="15">
        <f>R396+S359</f>
        <v>10507343</v>
      </c>
      <c r="T396" s="382">
        <v>345000</v>
      </c>
      <c r="U396" s="382">
        <f t="shared" si="182"/>
        <v>269347.13040000002</v>
      </c>
      <c r="V396" s="6" t="s">
        <v>117</v>
      </c>
      <c r="W396" s="22" t="s">
        <v>78</v>
      </c>
      <c r="X396" s="27">
        <v>0.27</v>
      </c>
      <c r="Y396" s="27" t="s">
        <v>118</v>
      </c>
      <c r="Z396" s="27"/>
      <c r="AA396" s="16"/>
      <c r="AB396" s="393">
        <f t="shared" si="183"/>
        <v>74077.373300000007</v>
      </c>
      <c r="AC396" s="17"/>
      <c r="AD396" s="15">
        <f t="shared" si="184"/>
        <v>484.28307000000001</v>
      </c>
      <c r="AE396" s="10"/>
    </row>
    <row r="397" spans="1:31" s="59" customFormat="1" ht="15.75" customHeight="1">
      <c r="A397" s="6" t="s">
        <v>80</v>
      </c>
      <c r="B397" s="48" t="str">
        <f>VLOOKUP(A397,[1]Sheet1!$A:$B,2,0)</f>
        <v>RCS POD</v>
      </c>
      <c r="C397" s="22" t="s">
        <v>73</v>
      </c>
      <c r="D397" s="22">
        <v>390000214</v>
      </c>
      <c r="E397" s="22" t="s">
        <v>74</v>
      </c>
      <c r="F397" s="48" t="s">
        <v>75</v>
      </c>
      <c r="G397" s="49" t="s">
        <v>76</v>
      </c>
      <c r="H397" s="50">
        <v>2024</v>
      </c>
      <c r="I397" s="334">
        <v>9</v>
      </c>
      <c r="J397" s="338">
        <v>45608</v>
      </c>
      <c r="K397" s="249"/>
      <c r="L397" s="399">
        <v>0.28260000000000002</v>
      </c>
      <c r="M397" s="399">
        <v>0.28260000000000002</v>
      </c>
      <c r="N397" s="404">
        <v>0</v>
      </c>
      <c r="O397" s="371">
        <f t="shared" ref="O397:O459" si="186">K397*N397</f>
        <v>0</v>
      </c>
      <c r="P397" s="370">
        <v>1</v>
      </c>
      <c r="Q397" s="370">
        <f t="shared" si="185"/>
        <v>0.28260000000000002</v>
      </c>
      <c r="R397" s="51">
        <v>1107124</v>
      </c>
      <c r="S397" s="33">
        <v>266029361</v>
      </c>
      <c r="T397" s="384">
        <v>9824000</v>
      </c>
      <c r="U397" s="385">
        <f>U52</f>
        <v>3393146.4125999995</v>
      </c>
      <c r="V397" s="22" t="s">
        <v>77</v>
      </c>
      <c r="W397" s="22" t="s">
        <v>78</v>
      </c>
      <c r="X397" s="52">
        <v>3.51</v>
      </c>
      <c r="Y397" s="52" t="s">
        <v>79</v>
      </c>
      <c r="Z397" s="52"/>
      <c r="AA397" s="53"/>
      <c r="AB397" s="392">
        <f t="shared" si="183"/>
        <v>312873.24240000005</v>
      </c>
      <c r="AC397" s="54"/>
      <c r="AD397" s="33">
        <f t="shared" si="184"/>
        <v>3886.00524</v>
      </c>
      <c r="AE397" s="48"/>
    </row>
    <row r="398" spans="1:31" s="59" customFormat="1" ht="15.75" customHeight="1">
      <c r="A398" s="6" t="s">
        <v>80</v>
      </c>
      <c r="B398" s="48" t="str">
        <f>VLOOKUP(A398,[1]Sheet1!$A:$B,2,0)</f>
        <v>RCS POD</v>
      </c>
      <c r="C398" s="248" t="s">
        <v>81</v>
      </c>
      <c r="D398" s="22">
        <v>390000221</v>
      </c>
      <c r="E398" s="22" t="s">
        <v>74</v>
      </c>
      <c r="F398" s="48" t="s">
        <v>75</v>
      </c>
      <c r="G398" s="49" t="s">
        <v>76</v>
      </c>
      <c r="H398" s="50">
        <v>2024</v>
      </c>
      <c r="I398" s="334">
        <v>9</v>
      </c>
      <c r="J398" s="338">
        <v>45608</v>
      </c>
      <c r="K398" s="249"/>
      <c r="L398" s="399">
        <v>0.1016</v>
      </c>
      <c r="M398" s="399">
        <v>0.1016</v>
      </c>
      <c r="N398" s="404">
        <v>0</v>
      </c>
      <c r="O398" s="371">
        <f t="shared" si="186"/>
        <v>0</v>
      </c>
      <c r="P398" s="370">
        <v>1</v>
      </c>
      <c r="Q398" s="370">
        <f t="shared" si="185"/>
        <v>0.1016</v>
      </c>
      <c r="R398" s="51">
        <v>1600816</v>
      </c>
      <c r="S398" s="33">
        <v>255652305</v>
      </c>
      <c r="T398" s="384">
        <v>4280500</v>
      </c>
      <c r="U398" s="386">
        <f>U53</f>
        <v>-1898692.5528000006</v>
      </c>
      <c r="V398" s="22" t="s">
        <v>82</v>
      </c>
      <c r="W398" s="22" t="s">
        <v>78</v>
      </c>
      <c r="X398" s="52">
        <v>1.4</v>
      </c>
      <c r="Y398" s="52" t="s">
        <v>83</v>
      </c>
      <c r="Z398" s="52"/>
      <c r="AA398" s="53"/>
      <c r="AB398" s="392">
        <f t="shared" si="183"/>
        <v>162642.9056</v>
      </c>
      <c r="AC398" s="54"/>
      <c r="AD398" s="33">
        <f t="shared" si="184"/>
        <v>2241.1423999999997</v>
      </c>
      <c r="AE398" s="48"/>
    </row>
    <row r="399" spans="1:31" s="59" customFormat="1" ht="15.75" customHeight="1">
      <c r="A399" s="6" t="s">
        <v>80</v>
      </c>
      <c r="B399" s="48" t="str">
        <f>VLOOKUP(A399,[1]Sheet1!$A:$B,2,0)</f>
        <v>RCS POD</v>
      </c>
      <c r="C399" s="22" t="s">
        <v>84</v>
      </c>
      <c r="D399" s="22">
        <v>390000215</v>
      </c>
      <c r="E399" s="22" t="s">
        <v>74</v>
      </c>
      <c r="F399" s="48" t="s">
        <v>75</v>
      </c>
      <c r="G399" s="49" t="s">
        <v>76</v>
      </c>
      <c r="H399" s="50">
        <v>2024</v>
      </c>
      <c r="I399" s="334">
        <v>9</v>
      </c>
      <c r="J399" s="338">
        <v>45608</v>
      </c>
      <c r="K399" s="249"/>
      <c r="L399" s="399">
        <v>9.9199999999999997E-2</v>
      </c>
      <c r="M399" s="399">
        <v>9.9199999999999997E-2</v>
      </c>
      <c r="N399" s="404">
        <v>0</v>
      </c>
      <c r="O399" s="371">
        <f t="shared" si="186"/>
        <v>0</v>
      </c>
      <c r="P399" s="370">
        <v>1</v>
      </c>
      <c r="Q399" s="370">
        <f t="shared" si="185"/>
        <v>9.9199999999999997E-2</v>
      </c>
      <c r="R399" s="51">
        <v>1725268</v>
      </c>
      <c r="S399" s="33">
        <v>260679825</v>
      </c>
      <c r="T399" s="384">
        <v>4592000</v>
      </c>
      <c r="U399" s="386">
        <f>U54</f>
        <v>-1694635.7922</v>
      </c>
      <c r="V399" s="22" t="s">
        <v>77</v>
      </c>
      <c r="W399" s="22" t="s">
        <v>78</v>
      </c>
      <c r="X399" s="52">
        <v>1.53</v>
      </c>
      <c r="Y399" s="52" t="s">
        <v>79</v>
      </c>
      <c r="Z399" s="52"/>
      <c r="AA399" s="53"/>
      <c r="AB399" s="392">
        <f t="shared" si="183"/>
        <v>171146.58559999999</v>
      </c>
      <c r="AC399" s="54"/>
      <c r="AD399" s="33">
        <f t="shared" si="184"/>
        <v>2639.6600400000002</v>
      </c>
      <c r="AE399" s="48"/>
    </row>
    <row r="400" spans="1:31" s="59" customFormat="1" ht="15.75" customHeight="1">
      <c r="A400" s="6" t="s">
        <v>80</v>
      </c>
      <c r="B400" s="48" t="str">
        <f>VLOOKUP(A400,[1]Sheet1!$A:$B,2,0)</f>
        <v>RCS POD</v>
      </c>
      <c r="C400" s="22" t="s">
        <v>85</v>
      </c>
      <c r="D400" s="22">
        <v>390000216</v>
      </c>
      <c r="E400" s="22" t="s">
        <v>74</v>
      </c>
      <c r="F400" s="48" t="s">
        <v>75</v>
      </c>
      <c r="G400" s="49" t="s">
        <v>76</v>
      </c>
      <c r="H400" s="50">
        <v>2024</v>
      </c>
      <c r="I400" s="334">
        <v>9</v>
      </c>
      <c r="J400" s="338">
        <v>45608</v>
      </c>
      <c r="K400" s="249"/>
      <c r="L400" s="399">
        <v>0.1105</v>
      </c>
      <c r="M400" s="399">
        <v>0.1105</v>
      </c>
      <c r="N400" s="404">
        <v>0</v>
      </c>
      <c r="O400" s="371">
        <f t="shared" si="186"/>
        <v>0</v>
      </c>
      <c r="P400" s="370">
        <v>1</v>
      </c>
      <c r="Q400" s="370">
        <f t="shared" si="185"/>
        <v>0.1105</v>
      </c>
      <c r="R400" s="51">
        <v>1426000</v>
      </c>
      <c r="S400" s="33">
        <v>261483247</v>
      </c>
      <c r="T400" s="384">
        <v>4830000</v>
      </c>
      <c r="U400" s="386">
        <f>U55</f>
        <v>-1487457.7080000006</v>
      </c>
      <c r="V400" s="22" t="s">
        <v>77</v>
      </c>
      <c r="W400" s="22" t="s">
        <v>78</v>
      </c>
      <c r="X400" s="52">
        <v>1.3</v>
      </c>
      <c r="Y400" s="52" t="s">
        <v>79</v>
      </c>
      <c r="Z400" s="52"/>
      <c r="AA400" s="53"/>
      <c r="AB400" s="392">
        <f t="shared" si="183"/>
        <v>157573</v>
      </c>
      <c r="AC400" s="54"/>
      <c r="AD400" s="33">
        <f t="shared" si="184"/>
        <v>1853.8</v>
      </c>
      <c r="AE400" s="48"/>
    </row>
    <row r="401" spans="1:31" s="38" customFormat="1" ht="15.75" customHeight="1">
      <c r="A401" s="6" t="s">
        <v>106</v>
      </c>
      <c r="B401" s="10" t="str">
        <f>VLOOKUP(A401,[1]Sheet1!$A:$B,2,0)</f>
        <v>MODI</v>
      </c>
      <c r="C401" s="32" t="s">
        <v>100</v>
      </c>
      <c r="D401" s="31">
        <v>130040670018928</v>
      </c>
      <c r="E401" s="6" t="s">
        <v>74</v>
      </c>
      <c r="F401" s="10" t="s">
        <v>107</v>
      </c>
      <c r="G401" s="39" t="s">
        <v>76</v>
      </c>
      <c r="H401" s="40">
        <v>2024</v>
      </c>
      <c r="I401" s="334">
        <v>9</v>
      </c>
      <c r="J401" s="338">
        <v>45608</v>
      </c>
      <c r="K401" s="240"/>
      <c r="L401" s="400">
        <v>0.31</v>
      </c>
      <c r="M401" s="400">
        <v>0.34499999999999997</v>
      </c>
      <c r="N401" s="405">
        <v>3.5000000000000003E-2</v>
      </c>
      <c r="O401" s="371">
        <f t="shared" si="186"/>
        <v>0</v>
      </c>
      <c r="P401" s="370">
        <v>1</v>
      </c>
      <c r="Q401" s="370">
        <f t="shared" si="185"/>
        <v>0.31</v>
      </c>
      <c r="R401" s="23">
        <v>2429534</v>
      </c>
      <c r="S401" s="15">
        <v>14799308</v>
      </c>
      <c r="T401" s="382">
        <v>4200000</v>
      </c>
      <c r="U401" s="382">
        <f t="shared" si="182"/>
        <v>3682024.2199999997</v>
      </c>
      <c r="V401" s="6" t="s">
        <v>88</v>
      </c>
      <c r="W401" s="22" t="s">
        <v>78</v>
      </c>
      <c r="X401" s="27">
        <v>6.2</v>
      </c>
      <c r="Y401" s="27" t="s">
        <v>79</v>
      </c>
      <c r="Z401" s="27"/>
      <c r="AA401" s="16"/>
      <c r="AB401" s="393">
        <f t="shared" si="183"/>
        <v>838189.23</v>
      </c>
      <c r="AC401" s="17"/>
      <c r="AD401" s="15">
        <f t="shared" si="184"/>
        <v>15063.1108</v>
      </c>
      <c r="AE401" s="10"/>
    </row>
    <row r="402" spans="1:31" s="38" customFormat="1" ht="15.75" customHeight="1">
      <c r="A402" s="6" t="s">
        <v>106</v>
      </c>
      <c r="B402" s="10" t="str">
        <f>VLOOKUP(A402,[1]Sheet1!$A:$B,2,0)</f>
        <v>MODI</v>
      </c>
      <c r="C402" s="32" t="s">
        <v>111</v>
      </c>
      <c r="D402" s="31">
        <v>130040670018919</v>
      </c>
      <c r="E402" s="6" t="s">
        <v>74</v>
      </c>
      <c r="F402" s="10" t="s">
        <v>75</v>
      </c>
      <c r="G402" s="39" t="s">
        <v>76</v>
      </c>
      <c r="H402" s="40">
        <v>2024</v>
      </c>
      <c r="I402" s="334">
        <v>9</v>
      </c>
      <c r="J402" s="338">
        <v>45608</v>
      </c>
      <c r="K402" s="240"/>
      <c r="L402" s="400">
        <v>0.128</v>
      </c>
      <c r="M402" s="400">
        <v>0.14570833333333333</v>
      </c>
      <c r="N402" s="405">
        <v>1.77E-2</v>
      </c>
      <c r="O402" s="371">
        <f t="shared" si="186"/>
        <v>0</v>
      </c>
      <c r="P402" s="370">
        <v>1</v>
      </c>
      <c r="Q402" s="370">
        <f t="shared" si="185"/>
        <v>0.128</v>
      </c>
      <c r="R402" s="23">
        <v>1003364</v>
      </c>
      <c r="S402" s="15">
        <v>8575048</v>
      </c>
      <c r="T402" s="382">
        <v>1700000</v>
      </c>
      <c r="U402" s="382">
        <f t="shared" si="182"/>
        <v>1548221.6503999999</v>
      </c>
      <c r="V402" s="6" t="s">
        <v>88</v>
      </c>
      <c r="W402" s="22" t="s">
        <v>78</v>
      </c>
      <c r="X402" s="27">
        <v>3.55</v>
      </c>
      <c r="Y402" s="27" t="s">
        <v>79</v>
      </c>
      <c r="Z402" s="27"/>
      <c r="AA402" s="16"/>
      <c r="AB402" s="393">
        <f t="shared" si="183"/>
        <v>146198.49616666665</v>
      </c>
      <c r="AC402" s="17"/>
      <c r="AD402" s="15">
        <f t="shared" si="184"/>
        <v>3561.9421999999995</v>
      </c>
      <c r="AE402" s="10"/>
    </row>
    <row r="403" spans="1:31" s="38" customFormat="1" ht="15.75" customHeight="1">
      <c r="A403" s="6" t="s">
        <v>106</v>
      </c>
      <c r="B403" s="10" t="str">
        <f>VLOOKUP(A403,[1]Sheet1!$A:$B,2,0)</f>
        <v>MODI</v>
      </c>
      <c r="C403" s="32" t="s">
        <v>109</v>
      </c>
      <c r="D403" s="31">
        <v>130040670027765</v>
      </c>
      <c r="E403" s="6" t="s">
        <v>74</v>
      </c>
      <c r="F403" s="10" t="s">
        <v>110</v>
      </c>
      <c r="G403" s="39" t="s">
        <v>76</v>
      </c>
      <c r="H403" s="40">
        <v>2024</v>
      </c>
      <c r="I403" s="334">
        <v>9</v>
      </c>
      <c r="J403" s="338">
        <v>45608</v>
      </c>
      <c r="K403" s="240"/>
      <c r="L403" s="400">
        <v>3.2000000000000001E-2</v>
      </c>
      <c r="M403" s="400">
        <v>3.991666666666667E-2</v>
      </c>
      <c r="N403" s="405">
        <v>7.9000000000000008E-3</v>
      </c>
      <c r="O403" s="371">
        <f t="shared" si="186"/>
        <v>0</v>
      </c>
      <c r="P403" s="370">
        <v>1</v>
      </c>
      <c r="Q403" s="370">
        <f t="shared" si="185"/>
        <v>3.2000000000000001E-2</v>
      </c>
      <c r="R403" s="23">
        <v>7773587</v>
      </c>
      <c r="S403" s="15">
        <f>R403+S254</f>
        <v>40735609</v>
      </c>
      <c r="T403" s="382">
        <v>1520000</v>
      </c>
      <c r="U403" s="382">
        <f t="shared" si="182"/>
        <v>1198188.6889</v>
      </c>
      <c r="V403" s="6" t="s">
        <v>88</v>
      </c>
      <c r="W403" s="22" t="s">
        <v>78</v>
      </c>
      <c r="X403" s="27">
        <v>0.56999999999999995</v>
      </c>
      <c r="Y403" s="27" t="s">
        <v>79</v>
      </c>
      <c r="Z403" s="27"/>
      <c r="AA403" s="16"/>
      <c r="AB403" s="393">
        <f t="shared" si="183"/>
        <v>310295.68108333333</v>
      </c>
      <c r="AC403" s="17"/>
      <c r="AD403" s="15">
        <f t="shared" si="184"/>
        <v>4430.9445900000001</v>
      </c>
      <c r="AE403" s="10"/>
    </row>
    <row r="404" spans="1:31" s="38" customFormat="1" ht="15.75" customHeight="1">
      <c r="A404" s="6" t="s">
        <v>106</v>
      </c>
      <c r="B404" s="10" t="str">
        <f>VLOOKUP(A404,[1]Sheet1!$A:$B,2,0)</f>
        <v>MODI</v>
      </c>
      <c r="C404" s="32" t="s">
        <v>104</v>
      </c>
      <c r="D404" s="31">
        <v>130040670018929</v>
      </c>
      <c r="E404" s="6" t="s">
        <v>74</v>
      </c>
      <c r="F404" s="10" t="s">
        <v>107</v>
      </c>
      <c r="G404" s="39" t="s">
        <v>76</v>
      </c>
      <c r="H404" s="40">
        <v>2024</v>
      </c>
      <c r="I404" s="334">
        <v>9</v>
      </c>
      <c r="J404" s="338">
        <v>45608</v>
      </c>
      <c r="K404" s="240"/>
      <c r="L404" s="400">
        <v>5.3999999999999999E-2</v>
      </c>
      <c r="M404" s="400">
        <v>6.3395833333333332E-2</v>
      </c>
      <c r="N404" s="405">
        <v>9.4000000000000004E-3</v>
      </c>
      <c r="O404" s="371">
        <f t="shared" si="186"/>
        <v>0</v>
      </c>
      <c r="P404" s="370">
        <v>1</v>
      </c>
      <c r="Q404" s="370">
        <f t="shared" si="185"/>
        <v>5.3999999999999999E-2</v>
      </c>
      <c r="R404" s="23">
        <v>2489735</v>
      </c>
      <c r="S404" s="15">
        <v>14798135</v>
      </c>
      <c r="T404" s="382">
        <v>902000</v>
      </c>
      <c r="U404" s="382">
        <f t="shared" si="182"/>
        <v>762897.53099999996</v>
      </c>
      <c r="V404" s="6" t="s">
        <v>88</v>
      </c>
      <c r="W404" s="22" t="s">
        <v>78</v>
      </c>
      <c r="X404" s="27">
        <v>0.65</v>
      </c>
      <c r="Y404" s="27" t="s">
        <v>79</v>
      </c>
      <c r="Z404" s="27"/>
      <c r="AA404" s="16"/>
      <c r="AB404" s="393">
        <f t="shared" si="183"/>
        <v>157838.82510416667</v>
      </c>
      <c r="AC404" s="17"/>
      <c r="AD404" s="15">
        <f t="shared" si="184"/>
        <v>1618.3277499999999</v>
      </c>
      <c r="AE404" s="10"/>
    </row>
    <row r="405" spans="1:31" s="38" customFormat="1" ht="15.75" customHeight="1">
      <c r="A405" s="6" t="s">
        <v>106</v>
      </c>
      <c r="B405" s="10" t="str">
        <f>VLOOKUP(A405,[1]Sheet1!$A:$B,2,0)</f>
        <v>MODI</v>
      </c>
      <c r="C405" s="32" t="s">
        <v>108</v>
      </c>
      <c r="D405" s="31">
        <v>130040670018930</v>
      </c>
      <c r="E405" s="6" t="s">
        <v>74</v>
      </c>
      <c r="F405" s="10" t="s">
        <v>107</v>
      </c>
      <c r="G405" s="39" t="s">
        <v>76</v>
      </c>
      <c r="H405" s="40">
        <v>2024</v>
      </c>
      <c r="I405" s="334">
        <v>9</v>
      </c>
      <c r="J405" s="338">
        <v>45608</v>
      </c>
      <c r="K405" s="240"/>
      <c r="L405" s="400">
        <v>0.08</v>
      </c>
      <c r="M405" s="400">
        <v>9.0708333333333335E-2</v>
      </c>
      <c r="N405" s="405">
        <v>1.0699999999999999E-2</v>
      </c>
      <c r="O405" s="371">
        <f t="shared" si="186"/>
        <v>0</v>
      </c>
      <c r="P405" s="370">
        <v>1</v>
      </c>
      <c r="Q405" s="370">
        <f t="shared" si="185"/>
        <v>0.08</v>
      </c>
      <c r="R405" s="23">
        <v>2484000</v>
      </c>
      <c r="S405" s="15">
        <v>14999400</v>
      </c>
      <c r="T405" s="382">
        <v>1028000</v>
      </c>
      <c r="U405" s="382">
        <f t="shared" si="182"/>
        <v>867506.42</v>
      </c>
      <c r="V405" s="6" t="s">
        <v>88</v>
      </c>
      <c r="W405" s="22" t="s">
        <v>78</v>
      </c>
      <c r="X405" s="27">
        <v>1.2</v>
      </c>
      <c r="Y405" s="27" t="s">
        <v>79</v>
      </c>
      <c r="Z405" s="27"/>
      <c r="AA405" s="16"/>
      <c r="AB405" s="393">
        <f t="shared" si="183"/>
        <v>225319.5</v>
      </c>
      <c r="AC405" s="17"/>
      <c r="AD405" s="15">
        <f t="shared" si="184"/>
        <v>2980.8</v>
      </c>
      <c r="AE405" s="10"/>
    </row>
    <row r="406" spans="1:31" s="55" customFormat="1" ht="15.75" customHeight="1">
      <c r="A406" s="6" t="s">
        <v>135</v>
      </c>
      <c r="B406" s="10" t="str">
        <f>VLOOKUP(A406,[1]Sheet1!$A:$B,2,0)</f>
        <v>RCS POD</v>
      </c>
      <c r="C406" s="22" t="s">
        <v>100</v>
      </c>
      <c r="D406" s="44">
        <v>130010390000252</v>
      </c>
      <c r="E406" s="22" t="s">
        <v>74</v>
      </c>
      <c r="F406" s="48" t="s">
        <v>75</v>
      </c>
      <c r="G406" s="49" t="s">
        <v>76</v>
      </c>
      <c r="H406" s="50">
        <v>2023</v>
      </c>
      <c r="I406" s="334">
        <v>5</v>
      </c>
      <c r="J406" s="338">
        <v>45608</v>
      </c>
      <c r="K406" s="240"/>
      <c r="L406" s="369">
        <v>0.18229999999999999</v>
      </c>
      <c r="M406" s="369">
        <v>0.20673001760563378</v>
      </c>
      <c r="N406" s="370">
        <v>2.4400000000000002E-2</v>
      </c>
      <c r="O406" s="371">
        <f t="shared" si="186"/>
        <v>0</v>
      </c>
      <c r="P406" s="370">
        <v>1</v>
      </c>
      <c r="Q406" s="370">
        <f t="shared" si="185"/>
        <v>0.18229999999999999</v>
      </c>
      <c r="R406" s="51">
        <v>656000</v>
      </c>
      <c r="S406" s="33">
        <v>656000</v>
      </c>
      <c r="T406" s="382">
        <v>3552320</v>
      </c>
      <c r="U406" s="382">
        <f t="shared" ref="U406" si="187">T406-N406*S406</f>
        <v>3536313.6</v>
      </c>
      <c r="V406" s="22" t="s">
        <v>101</v>
      </c>
      <c r="W406" s="22" t="s">
        <v>78</v>
      </c>
      <c r="X406" s="52">
        <v>3.55</v>
      </c>
      <c r="Y406" s="22" t="s">
        <v>103</v>
      </c>
      <c r="Z406" s="22"/>
      <c r="AA406" s="53"/>
      <c r="AB406" s="392">
        <f t="shared" ref="AB406" si="188">M406*R406</f>
        <v>135614.89154929577</v>
      </c>
      <c r="AC406" s="54"/>
      <c r="AD406" s="33">
        <f t="shared" ref="AD406" si="189">R406*X406/1000</f>
        <v>2328.8000000000002</v>
      </c>
      <c r="AE406" s="48"/>
    </row>
    <row r="407" spans="1:31" s="55" customFormat="1" ht="15.75" customHeight="1">
      <c r="A407" s="6" t="s">
        <v>135</v>
      </c>
      <c r="B407" s="10" t="str">
        <f>VLOOKUP(A407,[1]Sheet1!$A:$B,2,0)</f>
        <v>RCS POD</v>
      </c>
      <c r="C407" s="22" t="s">
        <v>100</v>
      </c>
      <c r="D407" s="44">
        <v>130010390000252</v>
      </c>
      <c r="E407" s="22" t="s">
        <v>74</v>
      </c>
      <c r="F407" s="48" t="s">
        <v>75</v>
      </c>
      <c r="G407" s="49" t="s">
        <v>76</v>
      </c>
      <c r="H407" s="50">
        <v>2023</v>
      </c>
      <c r="I407" s="334">
        <v>6</v>
      </c>
      <c r="J407" s="338">
        <v>45608</v>
      </c>
      <c r="K407" s="240"/>
      <c r="L407" s="369">
        <v>0.18229999999999999</v>
      </c>
      <c r="M407" s="369">
        <v>0.20673001760563378</v>
      </c>
      <c r="N407" s="370">
        <v>2.4400000000000002E-2</v>
      </c>
      <c r="O407" s="371">
        <f t="shared" si="186"/>
        <v>0</v>
      </c>
      <c r="P407" s="370">
        <v>1</v>
      </c>
      <c r="Q407" s="370">
        <f t="shared" si="185"/>
        <v>0.18229999999999999</v>
      </c>
      <c r="R407" s="51">
        <v>67526</v>
      </c>
      <c r="S407" s="33">
        <v>723526</v>
      </c>
      <c r="T407" s="382">
        <v>3552320</v>
      </c>
      <c r="U407" s="382">
        <f t="shared" si="182"/>
        <v>3534665.9656000002</v>
      </c>
      <c r="V407" s="22" t="s">
        <v>101</v>
      </c>
      <c r="W407" s="22" t="s">
        <v>78</v>
      </c>
      <c r="X407" s="52">
        <v>3.55</v>
      </c>
      <c r="Y407" s="22" t="s">
        <v>103</v>
      </c>
      <c r="Z407" s="22"/>
      <c r="AA407" s="53"/>
      <c r="AB407" s="392">
        <f t="shared" si="183"/>
        <v>13959.651168838027</v>
      </c>
      <c r="AC407" s="54"/>
      <c r="AD407" s="33">
        <f t="shared" si="184"/>
        <v>239.71729999999999</v>
      </c>
      <c r="AE407" s="48"/>
    </row>
    <row r="408" spans="1:31" s="55" customFormat="1" ht="15.75" customHeight="1">
      <c r="A408" s="6" t="s">
        <v>135</v>
      </c>
      <c r="B408" s="10" t="str">
        <f>VLOOKUP(A408,[1]Sheet1!$A:$B,2,0)</f>
        <v>RCS POD</v>
      </c>
      <c r="C408" s="22" t="s">
        <v>100</v>
      </c>
      <c r="D408" s="44">
        <v>130010390000252</v>
      </c>
      <c r="E408" s="22" t="s">
        <v>74</v>
      </c>
      <c r="F408" s="48" t="s">
        <v>75</v>
      </c>
      <c r="G408" s="49" t="s">
        <v>76</v>
      </c>
      <c r="H408" s="50">
        <v>2023</v>
      </c>
      <c r="I408" s="334">
        <v>7</v>
      </c>
      <c r="J408" s="338">
        <v>45608</v>
      </c>
      <c r="K408" s="240"/>
      <c r="L408" s="369">
        <v>0.18229999999999999</v>
      </c>
      <c r="M408" s="369">
        <v>0.20673001760563378</v>
      </c>
      <c r="N408" s="370">
        <v>2.4400000000000002E-2</v>
      </c>
      <c r="O408" s="371">
        <f t="shared" si="186"/>
        <v>0</v>
      </c>
      <c r="P408" s="370">
        <v>1</v>
      </c>
      <c r="Q408" s="370">
        <f t="shared" si="185"/>
        <v>0.18229999999999999</v>
      </c>
      <c r="R408" s="51">
        <v>519516</v>
      </c>
      <c r="S408" s="33">
        <v>1243042</v>
      </c>
      <c r="T408" s="382">
        <v>3552320</v>
      </c>
      <c r="U408" s="382">
        <f t="shared" si="182"/>
        <v>3521989.7752</v>
      </c>
      <c r="V408" s="22" t="s">
        <v>101</v>
      </c>
      <c r="W408" s="22" t="s">
        <v>78</v>
      </c>
      <c r="X408" s="52">
        <v>3.55</v>
      </c>
      <c r="Y408" s="22" t="s">
        <v>103</v>
      </c>
      <c r="Z408" s="22"/>
      <c r="AA408" s="53"/>
      <c r="AB408" s="392">
        <f t="shared" si="183"/>
        <v>107399.55182640844</v>
      </c>
      <c r="AC408" s="54"/>
      <c r="AD408" s="33">
        <f t="shared" si="184"/>
        <v>1844.2817999999997</v>
      </c>
      <c r="AE408" s="48"/>
    </row>
    <row r="409" spans="1:31" s="55" customFormat="1" ht="15.75" customHeight="1">
      <c r="A409" s="6" t="s">
        <v>135</v>
      </c>
      <c r="B409" s="10" t="str">
        <f>VLOOKUP(A409,[1]Sheet1!$A:$B,2,0)</f>
        <v>RCS POD</v>
      </c>
      <c r="C409" s="22" t="s">
        <v>100</v>
      </c>
      <c r="D409" s="44">
        <v>130010390000252</v>
      </c>
      <c r="E409" s="22" t="s">
        <v>74</v>
      </c>
      <c r="F409" s="48" t="s">
        <v>75</v>
      </c>
      <c r="G409" s="49" t="s">
        <v>76</v>
      </c>
      <c r="H409" s="50">
        <v>2023</v>
      </c>
      <c r="I409" s="334">
        <v>8</v>
      </c>
      <c r="J409" s="338">
        <v>45608</v>
      </c>
      <c r="K409" s="240"/>
      <c r="L409" s="369">
        <v>0.18229999999999999</v>
      </c>
      <c r="M409" s="369">
        <v>0.20673001760563378</v>
      </c>
      <c r="N409" s="370">
        <v>2.4400000000000002E-2</v>
      </c>
      <c r="O409" s="371">
        <f t="shared" si="186"/>
        <v>0</v>
      </c>
      <c r="P409" s="370">
        <v>1</v>
      </c>
      <c r="Q409" s="370">
        <f t="shared" si="185"/>
        <v>0.18229999999999999</v>
      </c>
      <c r="R409" s="51">
        <v>290230</v>
      </c>
      <c r="S409" s="33">
        <v>1533272</v>
      </c>
      <c r="T409" s="382">
        <v>3552320</v>
      </c>
      <c r="U409" s="382">
        <f t="shared" ref="U409:U412" si="190">T409-N409*S409</f>
        <v>3514908.1631999998</v>
      </c>
      <c r="V409" s="22" t="s">
        <v>101</v>
      </c>
      <c r="W409" s="22" t="s">
        <v>78</v>
      </c>
      <c r="X409" s="52">
        <v>3.55</v>
      </c>
      <c r="Y409" s="22" t="s">
        <v>103</v>
      </c>
      <c r="Z409" s="22"/>
      <c r="AA409" s="53"/>
      <c r="AB409" s="392">
        <f t="shared" ref="AB409:AB412" si="191">M409*R409</f>
        <v>59999.253009683089</v>
      </c>
      <c r="AC409" s="54"/>
      <c r="AD409" s="33">
        <f t="shared" ref="AD409:AD412" si="192">R409*X409/1000</f>
        <v>1030.3164999999999</v>
      </c>
      <c r="AE409" s="48"/>
    </row>
    <row r="410" spans="1:31" s="55" customFormat="1" ht="15.75" customHeight="1">
      <c r="A410" s="6" t="s">
        <v>135</v>
      </c>
      <c r="B410" s="10" t="str">
        <f>VLOOKUP(A410,[1]Sheet1!$A:$B,2,0)</f>
        <v>RCS POD</v>
      </c>
      <c r="C410" s="22" t="s">
        <v>100</v>
      </c>
      <c r="D410" s="44">
        <v>130010390000252</v>
      </c>
      <c r="E410" s="22" t="s">
        <v>74</v>
      </c>
      <c r="F410" s="48" t="s">
        <v>75</v>
      </c>
      <c r="G410" s="49" t="s">
        <v>76</v>
      </c>
      <c r="H410" s="50">
        <v>2023</v>
      </c>
      <c r="I410" s="334">
        <v>9</v>
      </c>
      <c r="J410" s="338">
        <v>45608</v>
      </c>
      <c r="K410" s="240"/>
      <c r="L410" s="369">
        <v>0.18229999999999999</v>
      </c>
      <c r="M410" s="369">
        <v>0.20673001760563378</v>
      </c>
      <c r="N410" s="370">
        <v>2.4400000000000002E-2</v>
      </c>
      <c r="O410" s="371">
        <f t="shared" si="186"/>
        <v>0</v>
      </c>
      <c r="P410" s="370">
        <v>1</v>
      </c>
      <c r="Q410" s="370">
        <f t="shared" si="185"/>
        <v>0.18229999999999999</v>
      </c>
      <c r="R410" s="51">
        <v>297451</v>
      </c>
      <c r="S410" s="33">
        <v>1830723</v>
      </c>
      <c r="T410" s="382">
        <v>3552320</v>
      </c>
      <c r="U410" s="382">
        <f t="shared" si="190"/>
        <v>3507650.3588</v>
      </c>
      <c r="V410" s="22" t="s">
        <v>101</v>
      </c>
      <c r="W410" s="22" t="s">
        <v>78</v>
      </c>
      <c r="X410" s="52">
        <v>3.55</v>
      </c>
      <c r="Y410" s="22" t="s">
        <v>103</v>
      </c>
      <c r="Z410" s="22"/>
      <c r="AA410" s="53"/>
      <c r="AB410" s="392">
        <f t="shared" si="191"/>
        <v>61492.050466813373</v>
      </c>
      <c r="AC410" s="54"/>
      <c r="AD410" s="33">
        <f t="shared" si="192"/>
        <v>1055.9510500000001</v>
      </c>
      <c r="AE410" s="48"/>
    </row>
    <row r="411" spans="1:31" s="55" customFormat="1" ht="15.75" customHeight="1">
      <c r="A411" s="6" t="s">
        <v>135</v>
      </c>
      <c r="B411" s="10" t="str">
        <f>VLOOKUP(A411,[1]Sheet1!$A:$B,2,0)</f>
        <v>RCS POD</v>
      </c>
      <c r="C411" s="22" t="s">
        <v>100</v>
      </c>
      <c r="D411" s="44">
        <v>130010390000252</v>
      </c>
      <c r="E411" s="22" t="s">
        <v>74</v>
      </c>
      <c r="F411" s="48" t="s">
        <v>75</v>
      </c>
      <c r="G411" s="49" t="s">
        <v>76</v>
      </c>
      <c r="H411" s="50">
        <v>2023</v>
      </c>
      <c r="I411" s="334">
        <v>10</v>
      </c>
      <c r="J411" s="338">
        <v>45608</v>
      </c>
      <c r="K411" s="240"/>
      <c r="L411" s="369">
        <v>0.18229999999999999</v>
      </c>
      <c r="M411" s="369">
        <v>0.20673001760563378</v>
      </c>
      <c r="N411" s="370">
        <v>2.4400000000000002E-2</v>
      </c>
      <c r="O411" s="371">
        <f t="shared" si="186"/>
        <v>0</v>
      </c>
      <c r="P411" s="370">
        <v>1</v>
      </c>
      <c r="Q411" s="370">
        <f t="shared" si="185"/>
        <v>0.18229999999999999</v>
      </c>
      <c r="R411" s="51">
        <v>655136</v>
      </c>
      <c r="S411" s="33">
        <v>2485859</v>
      </c>
      <c r="T411" s="382">
        <v>3552320</v>
      </c>
      <c r="U411" s="382">
        <f t="shared" si="190"/>
        <v>3491665.0403999998</v>
      </c>
      <c r="V411" s="22" t="s">
        <v>101</v>
      </c>
      <c r="W411" s="22" t="s">
        <v>78</v>
      </c>
      <c r="X411" s="52">
        <v>3.55</v>
      </c>
      <c r="Y411" s="22" t="s">
        <v>103</v>
      </c>
      <c r="Z411" s="22"/>
      <c r="AA411" s="53"/>
      <c r="AB411" s="392">
        <f t="shared" si="191"/>
        <v>135436.2768140845</v>
      </c>
      <c r="AC411" s="54"/>
      <c r="AD411" s="33">
        <f t="shared" si="192"/>
        <v>2325.7327999999998</v>
      </c>
      <c r="AE411" s="48"/>
    </row>
    <row r="412" spans="1:31" s="55" customFormat="1" ht="15.75" customHeight="1">
      <c r="A412" s="6" t="s">
        <v>135</v>
      </c>
      <c r="B412" s="10" t="str">
        <f>VLOOKUP(A412,[1]Sheet1!$A:$B,2,0)</f>
        <v>RCS POD</v>
      </c>
      <c r="C412" s="22" t="s">
        <v>100</v>
      </c>
      <c r="D412" s="44">
        <v>130010390000252</v>
      </c>
      <c r="E412" s="22" t="s">
        <v>74</v>
      </c>
      <c r="F412" s="48" t="s">
        <v>75</v>
      </c>
      <c r="G412" s="49" t="s">
        <v>76</v>
      </c>
      <c r="H412" s="50">
        <v>2023</v>
      </c>
      <c r="I412" s="334">
        <v>11</v>
      </c>
      <c r="J412" s="338">
        <v>45608</v>
      </c>
      <c r="K412" s="240"/>
      <c r="L412" s="369">
        <v>0.18229999999999999</v>
      </c>
      <c r="M412" s="369">
        <v>0.20673001760563378</v>
      </c>
      <c r="N412" s="370">
        <v>2.4400000000000002E-2</v>
      </c>
      <c r="O412" s="371">
        <f t="shared" si="186"/>
        <v>0</v>
      </c>
      <c r="P412" s="370">
        <v>1</v>
      </c>
      <c r="Q412" s="370">
        <f t="shared" si="185"/>
        <v>0.18229999999999999</v>
      </c>
      <c r="R412" s="51">
        <v>240711</v>
      </c>
      <c r="S412" s="33">
        <v>2726570</v>
      </c>
      <c r="T412" s="382">
        <v>3552320</v>
      </c>
      <c r="U412" s="382">
        <f t="shared" si="190"/>
        <v>3485791.6919999998</v>
      </c>
      <c r="V412" s="22" t="s">
        <v>101</v>
      </c>
      <c r="W412" s="22" t="s">
        <v>78</v>
      </c>
      <c r="X412" s="52">
        <v>3.55</v>
      </c>
      <c r="Y412" s="22" t="s">
        <v>103</v>
      </c>
      <c r="Z412" s="22"/>
      <c r="AA412" s="53"/>
      <c r="AB412" s="392">
        <f t="shared" si="191"/>
        <v>49762.189267869711</v>
      </c>
      <c r="AC412" s="54"/>
      <c r="AD412" s="33">
        <f t="shared" si="192"/>
        <v>854.52404999999987</v>
      </c>
      <c r="AE412" s="48"/>
    </row>
    <row r="413" spans="1:31" s="55" customFormat="1" ht="15.75" customHeight="1">
      <c r="A413" s="6" t="s">
        <v>135</v>
      </c>
      <c r="B413" s="10" t="str">
        <f>VLOOKUP(A413,[1]Sheet1!$A:$B,2,0)</f>
        <v>RCS POD</v>
      </c>
      <c r="C413" s="22" t="s">
        <v>100</v>
      </c>
      <c r="D413" s="44">
        <v>130010390000252</v>
      </c>
      <c r="E413" s="22" t="s">
        <v>74</v>
      </c>
      <c r="F413" s="48" t="s">
        <v>75</v>
      </c>
      <c r="G413" s="49" t="s">
        <v>76</v>
      </c>
      <c r="H413" s="50">
        <v>2023</v>
      </c>
      <c r="I413" s="334">
        <v>12</v>
      </c>
      <c r="J413" s="338">
        <v>45608</v>
      </c>
      <c r="K413" s="240"/>
      <c r="L413" s="369">
        <v>0.18229999999999999</v>
      </c>
      <c r="M413" s="369">
        <v>0.20673001760563378</v>
      </c>
      <c r="N413" s="370">
        <v>2.4400000000000002E-2</v>
      </c>
      <c r="O413" s="371">
        <f t="shared" si="186"/>
        <v>0</v>
      </c>
      <c r="P413" s="370">
        <v>1</v>
      </c>
      <c r="Q413" s="370">
        <f t="shared" si="185"/>
        <v>0.18229999999999999</v>
      </c>
      <c r="R413" s="51">
        <v>287496</v>
      </c>
      <c r="S413" s="33">
        <v>3014066</v>
      </c>
      <c r="T413" s="382">
        <v>3552320</v>
      </c>
      <c r="U413" s="382">
        <f t="shared" ref="U413" si="193">T413-N413*S413</f>
        <v>3478776.7895999998</v>
      </c>
      <c r="V413" s="22" t="s">
        <v>101</v>
      </c>
      <c r="W413" s="22" t="s">
        <v>78</v>
      </c>
      <c r="X413" s="52">
        <v>3.55</v>
      </c>
      <c r="Y413" s="22" t="s">
        <v>103</v>
      </c>
      <c r="Z413" s="22"/>
      <c r="AA413" s="53"/>
      <c r="AB413" s="392">
        <f t="shared" ref="AB413" si="194">M413*R413</f>
        <v>59434.053141549288</v>
      </c>
      <c r="AC413" s="54"/>
      <c r="AD413" s="33">
        <f t="shared" ref="AD413" si="195">R413*X413/1000</f>
        <v>1020.6107999999999</v>
      </c>
      <c r="AE413" s="48"/>
    </row>
    <row r="414" spans="1:31" s="55" customFormat="1" ht="15.75" customHeight="1">
      <c r="A414" s="6" t="s">
        <v>135</v>
      </c>
      <c r="B414" s="10" t="str">
        <f>VLOOKUP(A414,[1]Sheet1!$A:$B,2,0)</f>
        <v>RCS POD</v>
      </c>
      <c r="C414" s="22" t="s">
        <v>100</v>
      </c>
      <c r="D414" s="44">
        <v>130010390000252</v>
      </c>
      <c r="E414" s="22" t="s">
        <v>74</v>
      </c>
      <c r="F414" s="48" t="s">
        <v>75</v>
      </c>
      <c r="G414" s="49" t="s">
        <v>76</v>
      </c>
      <c r="H414" s="50">
        <v>2024</v>
      </c>
      <c r="I414" s="334">
        <v>1</v>
      </c>
      <c r="J414" s="338">
        <v>45608</v>
      </c>
      <c r="K414" s="240"/>
      <c r="L414" s="399">
        <v>0.18229999999999999</v>
      </c>
      <c r="M414" s="399">
        <v>0.20673001760563378</v>
      </c>
      <c r="N414" s="404">
        <v>2.4400000000000002E-2</v>
      </c>
      <c r="O414" s="371">
        <f t="shared" si="186"/>
        <v>0</v>
      </c>
      <c r="P414" s="370">
        <v>1</v>
      </c>
      <c r="Q414" s="370">
        <f t="shared" si="185"/>
        <v>0.18229999999999999</v>
      </c>
      <c r="R414" s="51">
        <v>358030</v>
      </c>
      <c r="S414" s="33">
        <v>3372096</v>
      </c>
      <c r="T414" s="382">
        <v>3552320</v>
      </c>
      <c r="U414" s="382">
        <f t="shared" ref="U414" si="196">T414-N414*S414</f>
        <v>3470040.8575999998</v>
      </c>
      <c r="V414" s="22" t="s">
        <v>101</v>
      </c>
      <c r="W414" s="22" t="s">
        <v>78</v>
      </c>
      <c r="X414" s="52">
        <v>3.55</v>
      </c>
      <c r="Y414" s="22" t="s">
        <v>103</v>
      </c>
      <c r="Z414" s="22"/>
      <c r="AA414" s="53"/>
      <c r="AB414" s="392">
        <f t="shared" ref="AB414" si="197">M414*R414</f>
        <v>74015.548203345068</v>
      </c>
      <c r="AC414" s="54"/>
      <c r="AD414" s="33">
        <f t="shared" ref="AD414" si="198">R414*X414/1000</f>
        <v>1271.0065</v>
      </c>
      <c r="AE414" s="48"/>
    </row>
    <row r="415" spans="1:31" s="55" customFormat="1" ht="15.75" customHeight="1">
      <c r="A415" s="6" t="s">
        <v>135</v>
      </c>
      <c r="B415" s="10" t="str">
        <f>VLOOKUP(A415,[1]Sheet1!$A:$B,2,0)</f>
        <v>RCS POD</v>
      </c>
      <c r="C415" s="37" t="s">
        <v>104</v>
      </c>
      <c r="D415" s="44">
        <v>130010390000259</v>
      </c>
      <c r="E415" s="22" t="s">
        <v>74</v>
      </c>
      <c r="F415" s="48" t="s">
        <v>75</v>
      </c>
      <c r="G415" s="49" t="s">
        <v>76</v>
      </c>
      <c r="H415" s="50">
        <v>2023</v>
      </c>
      <c r="I415" s="334">
        <v>5</v>
      </c>
      <c r="J415" s="338">
        <v>45608</v>
      </c>
      <c r="K415" s="240"/>
      <c r="L415" s="369">
        <v>7.0400000000000004E-2</v>
      </c>
      <c r="M415" s="369">
        <v>7.9881981981981987E-2</v>
      </c>
      <c r="N415" s="370">
        <v>9.4999999999999998E-3</v>
      </c>
      <c r="O415" s="371">
        <f t="shared" si="186"/>
        <v>0</v>
      </c>
      <c r="P415" s="370">
        <v>1</v>
      </c>
      <c r="Q415" s="370">
        <f t="shared" si="185"/>
        <v>7.0400000000000004E-2</v>
      </c>
      <c r="R415" s="51">
        <v>656000</v>
      </c>
      <c r="S415" s="33">
        <v>656000</v>
      </c>
      <c r="T415" s="382">
        <v>2020800</v>
      </c>
      <c r="U415" s="382">
        <f t="shared" si="182"/>
        <v>2014568</v>
      </c>
      <c r="V415" s="22" t="s">
        <v>88</v>
      </c>
      <c r="W415" s="22" t="s">
        <v>78</v>
      </c>
      <c r="X415" s="52">
        <v>0.5</v>
      </c>
      <c r="Y415" s="52" t="s">
        <v>79</v>
      </c>
      <c r="Z415" s="52"/>
      <c r="AA415" s="53"/>
      <c r="AB415" s="392">
        <f t="shared" si="183"/>
        <v>52402.580180180186</v>
      </c>
      <c r="AC415" s="54"/>
      <c r="AD415" s="33">
        <f t="shared" si="184"/>
        <v>328</v>
      </c>
      <c r="AE415" s="48"/>
    </row>
    <row r="416" spans="1:31" s="55" customFormat="1" ht="15.75" customHeight="1">
      <c r="A416" s="6" t="s">
        <v>135</v>
      </c>
      <c r="B416" s="10" t="str">
        <f>VLOOKUP(A416,[1]Sheet1!$A:$B,2,0)</f>
        <v>RCS POD</v>
      </c>
      <c r="C416" s="37" t="s">
        <v>104</v>
      </c>
      <c r="D416" s="44">
        <v>130010390000259</v>
      </c>
      <c r="E416" s="22" t="s">
        <v>74</v>
      </c>
      <c r="F416" s="48" t="s">
        <v>75</v>
      </c>
      <c r="G416" s="49" t="s">
        <v>76</v>
      </c>
      <c r="H416" s="50">
        <v>2023</v>
      </c>
      <c r="I416" s="334">
        <v>6</v>
      </c>
      <c r="J416" s="338">
        <v>45608</v>
      </c>
      <c r="K416" s="240"/>
      <c r="L416" s="369">
        <v>7.0400000000000004E-2</v>
      </c>
      <c r="M416" s="369">
        <v>7.9881981981981987E-2</v>
      </c>
      <c r="N416" s="370">
        <v>9.4999999999999998E-3</v>
      </c>
      <c r="O416" s="371">
        <f t="shared" si="186"/>
        <v>0</v>
      </c>
      <c r="P416" s="370">
        <v>1</v>
      </c>
      <c r="Q416" s="370">
        <f t="shared" si="185"/>
        <v>7.0400000000000004E-2</v>
      </c>
      <c r="R416" s="51">
        <v>366192</v>
      </c>
      <c r="S416" s="33">
        <v>1022192</v>
      </c>
      <c r="T416" s="382">
        <v>2020800</v>
      </c>
      <c r="U416" s="382">
        <f t="shared" ref="U416" si="199">T416-N416*S416</f>
        <v>2011089.176</v>
      </c>
      <c r="V416" s="22" t="s">
        <v>88</v>
      </c>
      <c r="W416" s="22" t="s">
        <v>78</v>
      </c>
      <c r="X416" s="52">
        <v>0.5</v>
      </c>
      <c r="Y416" s="52" t="s">
        <v>79</v>
      </c>
      <c r="Z416" s="52"/>
      <c r="AA416" s="53"/>
      <c r="AB416" s="392">
        <f t="shared" ref="AB416:AB417" si="200">M416*R416</f>
        <v>29252.142745945948</v>
      </c>
      <c r="AC416" s="54"/>
      <c r="AD416" s="33">
        <f t="shared" ref="AD416:AD417" si="201">R416*X416/1000</f>
        <v>183.096</v>
      </c>
      <c r="AE416" s="48"/>
    </row>
    <row r="417" spans="1:31" s="55" customFormat="1" ht="15.75" customHeight="1">
      <c r="A417" s="6" t="s">
        <v>135</v>
      </c>
      <c r="B417" s="10" t="str">
        <f>VLOOKUP(A417,[1]Sheet1!$A:$B,2,0)</f>
        <v>RCS POD</v>
      </c>
      <c r="C417" s="37" t="s">
        <v>104</v>
      </c>
      <c r="D417" s="44">
        <v>130010390000259</v>
      </c>
      <c r="E417" s="22" t="s">
        <v>74</v>
      </c>
      <c r="F417" s="48" t="s">
        <v>75</v>
      </c>
      <c r="G417" s="49" t="s">
        <v>76</v>
      </c>
      <c r="H417" s="50">
        <v>2023</v>
      </c>
      <c r="I417" s="334">
        <v>7</v>
      </c>
      <c r="J417" s="338">
        <v>45608</v>
      </c>
      <c r="K417" s="240"/>
      <c r="L417" s="369">
        <v>7.0400000000000004E-2</v>
      </c>
      <c r="M417" s="369">
        <v>7.9881981981981987E-2</v>
      </c>
      <c r="N417" s="370">
        <v>9.4999999999999998E-3</v>
      </c>
      <c r="O417" s="371">
        <f t="shared" si="186"/>
        <v>0</v>
      </c>
      <c r="P417" s="370">
        <v>1</v>
      </c>
      <c r="Q417" s="370">
        <f t="shared" si="185"/>
        <v>7.0400000000000004E-2</v>
      </c>
      <c r="R417" s="51">
        <v>444349</v>
      </c>
      <c r="S417" s="33">
        <v>1466541</v>
      </c>
      <c r="T417" s="382">
        <v>2020800</v>
      </c>
      <c r="U417" s="382">
        <f>T417-N417*S417</f>
        <v>2006867.8605</v>
      </c>
      <c r="V417" s="22" t="s">
        <v>88</v>
      </c>
      <c r="W417" s="22" t="s">
        <v>78</v>
      </c>
      <c r="X417" s="52">
        <v>0.5</v>
      </c>
      <c r="Y417" s="52" t="s">
        <v>79</v>
      </c>
      <c r="Z417" s="52"/>
      <c r="AA417" s="53"/>
      <c r="AB417" s="392">
        <f t="shared" si="200"/>
        <v>35495.478811711713</v>
      </c>
      <c r="AC417" s="54"/>
      <c r="AD417" s="33">
        <f t="shared" si="201"/>
        <v>222.17449999999999</v>
      </c>
      <c r="AE417" s="48"/>
    </row>
    <row r="418" spans="1:31" s="55" customFormat="1" ht="15.75" customHeight="1">
      <c r="A418" s="6" t="s">
        <v>135</v>
      </c>
      <c r="B418" s="10" t="str">
        <f>VLOOKUP(A418,[1]Sheet1!$A:$B,2,0)</f>
        <v>RCS POD</v>
      </c>
      <c r="C418" s="37" t="s">
        <v>104</v>
      </c>
      <c r="D418" s="44">
        <v>130010390000259</v>
      </c>
      <c r="E418" s="22" t="s">
        <v>74</v>
      </c>
      <c r="F418" s="48" t="s">
        <v>75</v>
      </c>
      <c r="G418" s="49" t="s">
        <v>76</v>
      </c>
      <c r="H418" s="50">
        <v>2023</v>
      </c>
      <c r="I418" s="334">
        <v>8</v>
      </c>
      <c r="J418" s="338">
        <v>45608</v>
      </c>
      <c r="K418" s="240"/>
      <c r="L418" s="369">
        <v>7.0400000000000004E-2</v>
      </c>
      <c r="M418" s="369">
        <v>7.9881981981981987E-2</v>
      </c>
      <c r="N418" s="370">
        <v>9.4999999999999998E-3</v>
      </c>
      <c r="O418" s="371">
        <f t="shared" si="186"/>
        <v>0</v>
      </c>
      <c r="P418" s="370">
        <v>1</v>
      </c>
      <c r="Q418" s="370">
        <f t="shared" si="185"/>
        <v>7.0400000000000004E-2</v>
      </c>
      <c r="R418" s="51">
        <v>290572</v>
      </c>
      <c r="S418" s="33">
        <v>1757113</v>
      </c>
      <c r="T418" s="382">
        <v>2020800</v>
      </c>
      <c r="U418" s="382">
        <f t="shared" ref="U418:U422" si="202">T418-N418*S418</f>
        <v>2004107.4265000001</v>
      </c>
      <c r="V418" s="22" t="s">
        <v>88</v>
      </c>
      <c r="W418" s="22" t="s">
        <v>78</v>
      </c>
      <c r="X418" s="52">
        <v>0.5</v>
      </c>
      <c r="Y418" s="52" t="s">
        <v>79</v>
      </c>
      <c r="Z418" s="52"/>
      <c r="AA418" s="53"/>
      <c r="AB418" s="392">
        <f t="shared" ref="AB418:AB423" si="203">M418*R418</f>
        <v>23211.46726846847</v>
      </c>
      <c r="AC418" s="54"/>
      <c r="AD418" s="33">
        <f t="shared" ref="AD418:AD423" si="204">R418*X418/1000</f>
        <v>145.286</v>
      </c>
      <c r="AE418" s="48"/>
    </row>
    <row r="419" spans="1:31" s="55" customFormat="1" ht="15.75" customHeight="1">
      <c r="A419" s="6" t="s">
        <v>135</v>
      </c>
      <c r="B419" s="10" t="str">
        <f>VLOOKUP(A419,[1]Sheet1!$A:$B,2,0)</f>
        <v>RCS POD</v>
      </c>
      <c r="C419" s="37" t="s">
        <v>104</v>
      </c>
      <c r="D419" s="44">
        <v>130010390000259</v>
      </c>
      <c r="E419" s="22" t="s">
        <v>74</v>
      </c>
      <c r="F419" s="48" t="s">
        <v>75</v>
      </c>
      <c r="G419" s="49" t="s">
        <v>76</v>
      </c>
      <c r="H419" s="50">
        <v>2023</v>
      </c>
      <c r="I419" s="334">
        <v>9</v>
      </c>
      <c r="J419" s="338">
        <v>45608</v>
      </c>
      <c r="K419" s="240"/>
      <c r="L419" s="369">
        <v>7.0400000000000004E-2</v>
      </c>
      <c r="M419" s="369">
        <v>7.9881981981981987E-2</v>
      </c>
      <c r="N419" s="370">
        <v>9.4999999999999998E-3</v>
      </c>
      <c r="O419" s="371">
        <f t="shared" si="186"/>
        <v>0</v>
      </c>
      <c r="P419" s="370">
        <v>1</v>
      </c>
      <c r="Q419" s="370">
        <f t="shared" si="185"/>
        <v>7.0400000000000004E-2</v>
      </c>
      <c r="R419" s="51">
        <v>305739</v>
      </c>
      <c r="S419" s="33">
        <v>2062852</v>
      </c>
      <c r="T419" s="382">
        <v>2020800</v>
      </c>
      <c r="U419" s="382">
        <f t="shared" si="202"/>
        <v>2001202.906</v>
      </c>
      <c r="V419" s="22" t="s">
        <v>88</v>
      </c>
      <c r="W419" s="22" t="s">
        <v>78</v>
      </c>
      <c r="X419" s="52">
        <v>0.5</v>
      </c>
      <c r="Y419" s="52" t="s">
        <v>79</v>
      </c>
      <c r="Z419" s="52"/>
      <c r="AA419" s="53"/>
      <c r="AB419" s="392">
        <f t="shared" si="203"/>
        <v>24423.037289189189</v>
      </c>
      <c r="AC419" s="54"/>
      <c r="AD419" s="33">
        <f t="shared" si="204"/>
        <v>152.86949999999999</v>
      </c>
      <c r="AE419" s="48"/>
    </row>
    <row r="420" spans="1:31" s="55" customFormat="1" ht="15.75" customHeight="1">
      <c r="A420" s="6" t="s">
        <v>135</v>
      </c>
      <c r="B420" s="10" t="str">
        <f>VLOOKUP(A420,[1]Sheet1!$A:$B,2,0)</f>
        <v>RCS POD</v>
      </c>
      <c r="C420" s="37" t="s">
        <v>104</v>
      </c>
      <c r="D420" s="44">
        <v>130010390000259</v>
      </c>
      <c r="E420" s="22" t="s">
        <v>74</v>
      </c>
      <c r="F420" s="48" t="s">
        <v>75</v>
      </c>
      <c r="G420" s="49" t="s">
        <v>76</v>
      </c>
      <c r="H420" s="50">
        <v>2023</v>
      </c>
      <c r="I420" s="334">
        <v>10</v>
      </c>
      <c r="J420" s="338">
        <v>45608</v>
      </c>
      <c r="K420" s="240"/>
      <c r="L420" s="369">
        <v>7.0400000000000004E-2</v>
      </c>
      <c r="M420" s="369">
        <v>7.9881981981981987E-2</v>
      </c>
      <c r="N420" s="370">
        <v>9.4999999999999998E-3</v>
      </c>
      <c r="O420" s="371">
        <f t="shared" si="186"/>
        <v>0</v>
      </c>
      <c r="P420" s="370">
        <v>1</v>
      </c>
      <c r="Q420" s="370">
        <f t="shared" si="185"/>
        <v>7.0400000000000004E-2</v>
      </c>
      <c r="R420" s="51">
        <v>341513</v>
      </c>
      <c r="S420" s="33">
        <v>2404365</v>
      </c>
      <c r="T420" s="382">
        <v>2020800</v>
      </c>
      <c r="U420" s="382">
        <f t="shared" si="202"/>
        <v>1997958.5325</v>
      </c>
      <c r="V420" s="22" t="s">
        <v>88</v>
      </c>
      <c r="W420" s="22" t="s">
        <v>78</v>
      </c>
      <c r="X420" s="52">
        <v>0.5</v>
      </c>
      <c r="Y420" s="52" t="s">
        <v>79</v>
      </c>
      <c r="Z420" s="52"/>
      <c r="AA420" s="53"/>
      <c r="AB420" s="392">
        <f t="shared" si="203"/>
        <v>27280.735312612615</v>
      </c>
      <c r="AC420" s="54"/>
      <c r="AD420" s="33">
        <f t="shared" si="204"/>
        <v>170.75649999999999</v>
      </c>
      <c r="AE420" s="48"/>
    </row>
    <row r="421" spans="1:31" s="55" customFormat="1" ht="15.75" customHeight="1">
      <c r="A421" s="6" t="s">
        <v>135</v>
      </c>
      <c r="B421" s="10" t="str">
        <f>VLOOKUP(A421,[1]Sheet1!$A:$B,2,0)</f>
        <v>RCS POD</v>
      </c>
      <c r="C421" s="37" t="s">
        <v>104</v>
      </c>
      <c r="D421" s="44">
        <v>130010390000259</v>
      </c>
      <c r="E421" s="22" t="s">
        <v>74</v>
      </c>
      <c r="F421" s="48" t="s">
        <v>75</v>
      </c>
      <c r="G421" s="49" t="s">
        <v>76</v>
      </c>
      <c r="H421" s="50">
        <v>2023</v>
      </c>
      <c r="I421" s="334">
        <v>11</v>
      </c>
      <c r="J421" s="338">
        <v>45608</v>
      </c>
      <c r="K421" s="240"/>
      <c r="L421" s="369">
        <v>7.0400000000000004E-2</v>
      </c>
      <c r="M421" s="369">
        <v>7.9881981981981987E-2</v>
      </c>
      <c r="N421" s="370">
        <v>9.4999999999999998E-3</v>
      </c>
      <c r="O421" s="371">
        <f t="shared" si="186"/>
        <v>0</v>
      </c>
      <c r="P421" s="370">
        <v>1</v>
      </c>
      <c r="Q421" s="370">
        <f t="shared" si="185"/>
        <v>7.0400000000000004E-2</v>
      </c>
      <c r="R421" s="51">
        <v>363003</v>
      </c>
      <c r="S421" s="33">
        <v>2767368</v>
      </c>
      <c r="T421" s="382">
        <v>2020800</v>
      </c>
      <c r="U421" s="382">
        <f t="shared" si="202"/>
        <v>1994510.004</v>
      </c>
      <c r="V421" s="22" t="s">
        <v>88</v>
      </c>
      <c r="W421" s="22" t="s">
        <v>78</v>
      </c>
      <c r="X421" s="52">
        <v>0.5</v>
      </c>
      <c r="Y421" s="52" t="s">
        <v>79</v>
      </c>
      <c r="Z421" s="52"/>
      <c r="AA421" s="53"/>
      <c r="AB421" s="392">
        <f t="shared" si="203"/>
        <v>28997.399105405406</v>
      </c>
      <c r="AC421" s="54"/>
      <c r="AD421" s="33">
        <f t="shared" si="204"/>
        <v>181.50149999999999</v>
      </c>
      <c r="AE421" s="48"/>
    </row>
    <row r="422" spans="1:31" s="55" customFormat="1" ht="15.75" customHeight="1">
      <c r="A422" s="6" t="s">
        <v>135</v>
      </c>
      <c r="B422" s="10" t="str">
        <f>VLOOKUP(A422,[1]Sheet1!$A:$B,2,0)</f>
        <v>RCS POD</v>
      </c>
      <c r="C422" s="37" t="s">
        <v>104</v>
      </c>
      <c r="D422" s="44">
        <v>130010390000259</v>
      </c>
      <c r="E422" s="22" t="s">
        <v>74</v>
      </c>
      <c r="F422" s="48" t="s">
        <v>75</v>
      </c>
      <c r="G422" s="49" t="s">
        <v>76</v>
      </c>
      <c r="H422" s="50">
        <v>2023</v>
      </c>
      <c r="I422" s="334">
        <v>12</v>
      </c>
      <c r="J422" s="338">
        <v>45608</v>
      </c>
      <c r="K422" s="240"/>
      <c r="L422" s="369">
        <v>7.0400000000000004E-2</v>
      </c>
      <c r="M422" s="369">
        <v>7.9881981981981987E-2</v>
      </c>
      <c r="N422" s="370">
        <v>9.4999999999999998E-3</v>
      </c>
      <c r="O422" s="371">
        <f t="shared" si="186"/>
        <v>0</v>
      </c>
      <c r="P422" s="370">
        <v>1</v>
      </c>
      <c r="Q422" s="370">
        <f t="shared" si="185"/>
        <v>7.0400000000000004E-2</v>
      </c>
      <c r="R422" s="51">
        <v>255949</v>
      </c>
      <c r="S422" s="33">
        <v>3023317</v>
      </c>
      <c r="T422" s="382">
        <v>2020800</v>
      </c>
      <c r="U422" s="382">
        <f t="shared" si="202"/>
        <v>1992078.4885</v>
      </c>
      <c r="V422" s="22" t="s">
        <v>88</v>
      </c>
      <c r="W422" s="22" t="s">
        <v>78</v>
      </c>
      <c r="X422" s="52">
        <v>0.5</v>
      </c>
      <c r="Y422" s="52" t="s">
        <v>79</v>
      </c>
      <c r="Z422" s="52"/>
      <c r="AA422" s="53"/>
      <c r="AB422" s="392">
        <f t="shared" si="203"/>
        <v>20445.713406306306</v>
      </c>
      <c r="AC422" s="54"/>
      <c r="AD422" s="33">
        <f t="shared" si="204"/>
        <v>127.97450000000001</v>
      </c>
      <c r="AE422" s="48"/>
    </row>
    <row r="423" spans="1:31" s="55" customFormat="1" ht="15.75" customHeight="1">
      <c r="A423" s="6" t="s">
        <v>135</v>
      </c>
      <c r="B423" s="10" t="str">
        <f>VLOOKUP(A423,[1]Sheet1!$A:$B,2,0)</f>
        <v>RCS POD</v>
      </c>
      <c r="C423" s="22" t="s">
        <v>100</v>
      </c>
      <c r="D423" s="44">
        <v>130010390000252</v>
      </c>
      <c r="E423" s="22" t="s">
        <v>74</v>
      </c>
      <c r="F423" s="48" t="s">
        <v>75</v>
      </c>
      <c r="G423" s="49" t="s">
        <v>76</v>
      </c>
      <c r="H423" s="50">
        <v>2024</v>
      </c>
      <c r="I423" s="334">
        <v>2</v>
      </c>
      <c r="J423" s="338">
        <v>45608</v>
      </c>
      <c r="K423" s="240"/>
      <c r="L423" s="399">
        <v>0.18229999999999999</v>
      </c>
      <c r="M423" s="399">
        <v>0.20673001760563378</v>
      </c>
      <c r="N423" s="404">
        <v>2.4400000000000002E-2</v>
      </c>
      <c r="O423" s="371">
        <f t="shared" si="186"/>
        <v>0</v>
      </c>
      <c r="P423" s="370">
        <v>1</v>
      </c>
      <c r="Q423" s="370">
        <f t="shared" si="185"/>
        <v>0.18229999999999999</v>
      </c>
      <c r="R423" s="51">
        <v>30000</v>
      </c>
      <c r="S423" s="33">
        <f>S414+R423</f>
        <v>3402096</v>
      </c>
      <c r="T423" s="382">
        <v>3552320</v>
      </c>
      <c r="U423" s="382">
        <f>T423-N423*S423-394</f>
        <v>3468914.8575999998</v>
      </c>
      <c r="V423" s="22" t="s">
        <v>101</v>
      </c>
      <c r="W423" s="22" t="s">
        <v>78</v>
      </c>
      <c r="X423" s="52">
        <v>3.55</v>
      </c>
      <c r="Y423" s="22" t="s">
        <v>103</v>
      </c>
      <c r="Z423" s="22"/>
      <c r="AA423" s="53"/>
      <c r="AB423" s="392">
        <f t="shared" si="203"/>
        <v>6201.9005281690133</v>
      </c>
      <c r="AC423" s="54"/>
      <c r="AD423" s="33">
        <f t="shared" si="204"/>
        <v>106.5</v>
      </c>
      <c r="AE423" s="48"/>
    </row>
    <row r="424" spans="1:31" s="55" customFormat="1" ht="15.75" customHeight="1">
      <c r="A424" s="6" t="s">
        <v>135</v>
      </c>
      <c r="B424" s="10" t="str">
        <f>VLOOKUP(A424,[1]Sheet1!$A:$B,2,0)</f>
        <v>RCS POD</v>
      </c>
      <c r="C424" s="37" t="s">
        <v>104</v>
      </c>
      <c r="D424" s="44">
        <v>130010390000259</v>
      </c>
      <c r="E424" s="22" t="s">
        <v>74</v>
      </c>
      <c r="F424" s="48" t="s">
        <v>75</v>
      </c>
      <c r="G424" s="49" t="s">
        <v>76</v>
      </c>
      <c r="H424" s="50">
        <v>2024</v>
      </c>
      <c r="I424" s="334">
        <v>1</v>
      </c>
      <c r="J424" s="338">
        <v>45608</v>
      </c>
      <c r="K424" s="240"/>
      <c r="L424" s="399">
        <v>7.0400000000000004E-2</v>
      </c>
      <c r="M424" s="399">
        <v>7.9881981981981987E-2</v>
      </c>
      <c r="N424" s="404">
        <v>9.4999999999999998E-3</v>
      </c>
      <c r="O424" s="371">
        <f t="shared" si="186"/>
        <v>0</v>
      </c>
      <c r="P424" s="370">
        <v>1</v>
      </c>
      <c r="Q424" s="370">
        <f t="shared" si="185"/>
        <v>7.0400000000000004E-2</v>
      </c>
      <c r="R424" s="51">
        <v>354834</v>
      </c>
      <c r="S424" s="33">
        <v>3378151</v>
      </c>
      <c r="T424" s="382">
        <v>2020800</v>
      </c>
      <c r="U424" s="382">
        <f t="shared" ref="U424" si="205">T424-N424*S424</f>
        <v>1988707.5655</v>
      </c>
      <c r="V424" s="22" t="s">
        <v>88</v>
      </c>
      <c r="W424" s="22" t="s">
        <v>78</v>
      </c>
      <c r="X424" s="52">
        <v>0.5</v>
      </c>
      <c r="Y424" s="52" t="s">
        <v>79</v>
      </c>
      <c r="Z424" s="52"/>
      <c r="AA424" s="53"/>
      <c r="AB424" s="392">
        <f t="shared" ref="AB424" si="206">M424*R424</f>
        <v>28344.843194594596</v>
      </c>
      <c r="AC424" s="54"/>
      <c r="AD424" s="33">
        <f t="shared" ref="AD424" si="207">R424*X424/1000</f>
        <v>177.417</v>
      </c>
      <c r="AE424" s="48"/>
    </row>
    <row r="425" spans="1:31" s="59" customFormat="1" ht="15.75" customHeight="1">
      <c r="A425" s="6" t="s">
        <v>135</v>
      </c>
      <c r="B425" s="10" t="str">
        <f>VLOOKUP(A425,[1]Sheet1!$A:$B,2,0)</f>
        <v>RCS POD</v>
      </c>
      <c r="C425" s="37" t="s">
        <v>105</v>
      </c>
      <c r="D425" s="44">
        <v>130010390000258</v>
      </c>
      <c r="E425" s="22" t="s">
        <v>74</v>
      </c>
      <c r="F425" s="48" t="s">
        <v>75</v>
      </c>
      <c r="G425" s="49" t="s">
        <v>76</v>
      </c>
      <c r="H425" s="50">
        <v>2023</v>
      </c>
      <c r="I425" s="334">
        <v>5</v>
      </c>
      <c r="J425" s="338">
        <v>45608</v>
      </c>
      <c r="K425" s="240"/>
      <c r="L425" s="369">
        <v>5.4800000000000001E-2</v>
      </c>
      <c r="M425" s="369">
        <v>6.2834351145038173E-2</v>
      </c>
      <c r="N425" s="370">
        <v>8.0000000000000002E-3</v>
      </c>
      <c r="O425" s="371">
        <f t="shared" si="186"/>
        <v>0</v>
      </c>
      <c r="P425" s="370">
        <v>1</v>
      </c>
      <c r="Q425" s="370">
        <f t="shared" si="185"/>
        <v>5.4800000000000001E-2</v>
      </c>
      <c r="R425" s="51">
        <v>656000</v>
      </c>
      <c r="S425" s="33">
        <v>656000</v>
      </c>
      <c r="T425" s="382">
        <v>2020800</v>
      </c>
      <c r="U425" s="382">
        <f t="shared" si="182"/>
        <v>2015552</v>
      </c>
      <c r="V425" s="22" t="s">
        <v>88</v>
      </c>
      <c r="W425" s="22" t="s">
        <v>78</v>
      </c>
      <c r="X425" s="52">
        <v>0.25</v>
      </c>
      <c r="Y425" s="52" t="s">
        <v>79</v>
      </c>
      <c r="Z425" s="52"/>
      <c r="AA425" s="53"/>
      <c r="AB425" s="392">
        <f t="shared" si="183"/>
        <v>41219.334351145044</v>
      </c>
      <c r="AC425" s="54"/>
      <c r="AD425" s="33">
        <f t="shared" si="184"/>
        <v>164</v>
      </c>
      <c r="AE425" s="48"/>
    </row>
    <row r="426" spans="1:31" s="59" customFormat="1" ht="15.75" customHeight="1">
      <c r="A426" s="6" t="s">
        <v>135</v>
      </c>
      <c r="B426" s="10" t="str">
        <f>VLOOKUP(A426,[1]Sheet1!$A:$B,2,0)</f>
        <v>RCS POD</v>
      </c>
      <c r="C426" s="37" t="s">
        <v>105</v>
      </c>
      <c r="D426" s="44">
        <v>130010390000258</v>
      </c>
      <c r="E426" s="22" t="s">
        <v>74</v>
      </c>
      <c r="F426" s="48" t="s">
        <v>75</v>
      </c>
      <c r="G426" s="49" t="s">
        <v>76</v>
      </c>
      <c r="H426" s="50">
        <v>2023</v>
      </c>
      <c r="I426" s="334">
        <v>6</v>
      </c>
      <c r="J426" s="338">
        <v>45608</v>
      </c>
      <c r="K426" s="240"/>
      <c r="L426" s="369">
        <v>5.4800000000000001E-2</v>
      </c>
      <c r="M426" s="369">
        <v>6.2834351145038173E-2</v>
      </c>
      <c r="N426" s="370">
        <v>8.0000000000000002E-3</v>
      </c>
      <c r="O426" s="371">
        <f t="shared" si="186"/>
        <v>0</v>
      </c>
      <c r="P426" s="370">
        <v>1</v>
      </c>
      <c r="Q426" s="370">
        <f t="shared" si="185"/>
        <v>5.4800000000000001E-2</v>
      </c>
      <c r="R426" s="51">
        <v>329040</v>
      </c>
      <c r="S426" s="33">
        <v>985040</v>
      </c>
      <c r="T426" s="382">
        <v>2020800</v>
      </c>
      <c r="U426" s="382">
        <f t="shared" ref="U426:U427" si="208">T426-N426*S426</f>
        <v>2012919.68</v>
      </c>
      <c r="V426" s="22" t="s">
        <v>88</v>
      </c>
      <c r="W426" s="22" t="s">
        <v>78</v>
      </c>
      <c r="X426" s="52">
        <v>0.25</v>
      </c>
      <c r="Y426" s="52" t="s">
        <v>79</v>
      </c>
      <c r="Z426" s="52"/>
      <c r="AA426" s="53"/>
      <c r="AB426" s="392">
        <f t="shared" ref="AB426:AB427" si="209">M426*R426</f>
        <v>20675.014900763359</v>
      </c>
      <c r="AC426" s="54"/>
      <c r="AD426" s="33">
        <f t="shared" ref="AD426:AD427" si="210">R426*X426/1000</f>
        <v>82.26</v>
      </c>
      <c r="AE426" s="48"/>
    </row>
    <row r="427" spans="1:31" s="59" customFormat="1" ht="15.75" customHeight="1">
      <c r="A427" s="6" t="s">
        <v>135</v>
      </c>
      <c r="B427" s="10" t="str">
        <f>VLOOKUP(A427,[1]Sheet1!$A:$B,2,0)</f>
        <v>RCS POD</v>
      </c>
      <c r="C427" s="37" t="s">
        <v>105</v>
      </c>
      <c r="D427" s="44">
        <v>130010390000258</v>
      </c>
      <c r="E427" s="22" t="s">
        <v>74</v>
      </c>
      <c r="F427" s="48" t="s">
        <v>75</v>
      </c>
      <c r="G427" s="49" t="s">
        <v>76</v>
      </c>
      <c r="H427" s="50">
        <v>2023</v>
      </c>
      <c r="I427" s="334">
        <v>7</v>
      </c>
      <c r="J427" s="338">
        <v>45608</v>
      </c>
      <c r="K427" s="240"/>
      <c r="L427" s="369">
        <v>5.4800000000000001E-2</v>
      </c>
      <c r="M427" s="369">
        <v>6.2834351145038173E-2</v>
      </c>
      <c r="N427" s="370">
        <v>8.0000000000000002E-3</v>
      </c>
      <c r="O427" s="371">
        <f t="shared" si="186"/>
        <v>0</v>
      </c>
      <c r="P427" s="370">
        <v>1</v>
      </c>
      <c r="Q427" s="370">
        <f t="shared" si="185"/>
        <v>5.4800000000000001E-2</v>
      </c>
      <c r="R427" s="51">
        <v>357489</v>
      </c>
      <c r="S427" s="33">
        <v>1342529</v>
      </c>
      <c r="T427" s="382">
        <v>2020800</v>
      </c>
      <c r="U427" s="382">
        <f t="shared" si="208"/>
        <v>2010059.7679999999</v>
      </c>
      <c r="V427" s="22" t="s">
        <v>88</v>
      </c>
      <c r="W427" s="22" t="s">
        <v>78</v>
      </c>
      <c r="X427" s="52">
        <v>0.25</v>
      </c>
      <c r="Y427" s="52" t="s">
        <v>79</v>
      </c>
      <c r="Z427" s="52"/>
      <c r="AA427" s="53"/>
      <c r="AB427" s="392">
        <f t="shared" si="209"/>
        <v>22462.589356488552</v>
      </c>
      <c r="AC427" s="54"/>
      <c r="AD427" s="33">
        <f t="shared" si="210"/>
        <v>89.372249999999994</v>
      </c>
      <c r="AE427" s="48"/>
    </row>
    <row r="428" spans="1:31" s="59" customFormat="1" ht="15.75" customHeight="1">
      <c r="A428" s="6" t="s">
        <v>135</v>
      </c>
      <c r="B428" s="10" t="str">
        <f>VLOOKUP(A428,[1]Sheet1!$A:$B,2,0)</f>
        <v>RCS POD</v>
      </c>
      <c r="C428" s="37" t="s">
        <v>105</v>
      </c>
      <c r="D428" s="44">
        <v>130010390000258</v>
      </c>
      <c r="E428" s="22" t="s">
        <v>74</v>
      </c>
      <c r="F428" s="48" t="s">
        <v>75</v>
      </c>
      <c r="G428" s="49" t="s">
        <v>76</v>
      </c>
      <c r="H428" s="50">
        <v>2023</v>
      </c>
      <c r="I428" s="334">
        <v>8</v>
      </c>
      <c r="J428" s="338">
        <v>45608</v>
      </c>
      <c r="K428" s="240"/>
      <c r="L428" s="369">
        <v>5.4800000000000001E-2</v>
      </c>
      <c r="M428" s="369">
        <v>6.2834351145038173E-2</v>
      </c>
      <c r="N428" s="370">
        <v>8.0000000000000002E-3</v>
      </c>
      <c r="O428" s="371">
        <f t="shared" si="186"/>
        <v>0</v>
      </c>
      <c r="P428" s="370">
        <v>1</v>
      </c>
      <c r="Q428" s="370">
        <f t="shared" si="185"/>
        <v>5.4800000000000001E-2</v>
      </c>
      <c r="R428" s="51">
        <v>335572</v>
      </c>
      <c r="S428" s="33">
        <v>1678101</v>
      </c>
      <c r="T428" s="382">
        <v>2020800</v>
      </c>
      <c r="U428" s="382">
        <f t="shared" ref="U428:U431" si="211">T428-N428*S428</f>
        <v>2007375.192</v>
      </c>
      <c r="V428" s="22" t="s">
        <v>88</v>
      </c>
      <c r="W428" s="22" t="s">
        <v>78</v>
      </c>
      <c r="X428" s="52">
        <v>0.25</v>
      </c>
      <c r="Y428" s="52" t="s">
        <v>79</v>
      </c>
      <c r="Z428" s="52"/>
      <c r="AA428" s="53"/>
      <c r="AB428" s="392">
        <f t="shared" ref="AB428:AB431" si="212">M428*R428</f>
        <v>21085.44888244275</v>
      </c>
      <c r="AC428" s="54"/>
      <c r="AD428" s="33">
        <f t="shared" ref="AD428:AD431" si="213">R428*X428/1000</f>
        <v>83.893000000000001</v>
      </c>
      <c r="AE428" s="48"/>
    </row>
    <row r="429" spans="1:31" s="59" customFormat="1" ht="15.75" customHeight="1">
      <c r="A429" s="6" t="s">
        <v>135</v>
      </c>
      <c r="B429" s="10" t="str">
        <f>VLOOKUP(A429,[1]Sheet1!$A:$B,2,0)</f>
        <v>RCS POD</v>
      </c>
      <c r="C429" s="37" t="s">
        <v>105</v>
      </c>
      <c r="D429" s="44">
        <v>130010390000258</v>
      </c>
      <c r="E429" s="22" t="s">
        <v>74</v>
      </c>
      <c r="F429" s="48" t="s">
        <v>75</v>
      </c>
      <c r="G429" s="49" t="s">
        <v>76</v>
      </c>
      <c r="H429" s="50">
        <v>2023</v>
      </c>
      <c r="I429" s="334">
        <v>9</v>
      </c>
      <c r="J429" s="338">
        <v>45608</v>
      </c>
      <c r="K429" s="240"/>
      <c r="L429" s="369">
        <v>5.4800000000000001E-2</v>
      </c>
      <c r="M429" s="369">
        <v>6.2834351145038173E-2</v>
      </c>
      <c r="N429" s="370">
        <v>8.0000000000000002E-3</v>
      </c>
      <c r="O429" s="371">
        <f t="shared" si="186"/>
        <v>0</v>
      </c>
      <c r="P429" s="370">
        <v>1</v>
      </c>
      <c r="Q429" s="370">
        <f t="shared" si="185"/>
        <v>5.4800000000000001E-2</v>
      </c>
      <c r="R429" s="51">
        <v>308349</v>
      </c>
      <c r="S429" s="33">
        <v>1986450</v>
      </c>
      <c r="T429" s="382">
        <v>2020800</v>
      </c>
      <c r="U429" s="382">
        <f t="shared" si="211"/>
        <v>2004908.4</v>
      </c>
      <c r="V429" s="22" t="s">
        <v>88</v>
      </c>
      <c r="W429" s="22" t="s">
        <v>78</v>
      </c>
      <c r="X429" s="52">
        <v>0.25</v>
      </c>
      <c r="Y429" s="52" t="s">
        <v>79</v>
      </c>
      <c r="Z429" s="52"/>
      <c r="AA429" s="53"/>
      <c r="AB429" s="392">
        <f t="shared" si="212"/>
        <v>19374.909341221377</v>
      </c>
      <c r="AC429" s="54"/>
      <c r="AD429" s="33">
        <f t="shared" si="213"/>
        <v>77.087249999999997</v>
      </c>
      <c r="AE429" s="48"/>
    </row>
    <row r="430" spans="1:31" s="59" customFormat="1" ht="15.75" customHeight="1">
      <c r="A430" s="6" t="s">
        <v>135</v>
      </c>
      <c r="B430" s="10" t="str">
        <f>VLOOKUP(A430,[1]Sheet1!$A:$B,2,0)</f>
        <v>RCS POD</v>
      </c>
      <c r="C430" s="37" t="s">
        <v>105</v>
      </c>
      <c r="D430" s="44">
        <v>130010390000258</v>
      </c>
      <c r="E430" s="22" t="s">
        <v>74</v>
      </c>
      <c r="F430" s="48" t="s">
        <v>75</v>
      </c>
      <c r="G430" s="49" t="s">
        <v>76</v>
      </c>
      <c r="H430" s="50">
        <v>2023</v>
      </c>
      <c r="I430" s="334">
        <v>10</v>
      </c>
      <c r="J430" s="338">
        <v>45608</v>
      </c>
      <c r="K430" s="240"/>
      <c r="L430" s="369">
        <v>5.4800000000000001E-2</v>
      </c>
      <c r="M430" s="369">
        <v>6.2834351145038173E-2</v>
      </c>
      <c r="N430" s="370">
        <v>8.0000000000000002E-3</v>
      </c>
      <c r="O430" s="371">
        <f t="shared" si="186"/>
        <v>0</v>
      </c>
      <c r="P430" s="370">
        <v>1</v>
      </c>
      <c r="Q430" s="370">
        <f t="shared" si="185"/>
        <v>5.4800000000000001E-2</v>
      </c>
      <c r="R430" s="51">
        <v>324622</v>
      </c>
      <c r="S430" s="33">
        <v>2311072</v>
      </c>
      <c r="T430" s="382">
        <v>2020800</v>
      </c>
      <c r="U430" s="382">
        <f t="shared" si="211"/>
        <v>2002311.4240000001</v>
      </c>
      <c r="V430" s="22" t="s">
        <v>88</v>
      </c>
      <c r="W430" s="22" t="s">
        <v>78</v>
      </c>
      <c r="X430" s="52">
        <v>0.25</v>
      </c>
      <c r="Y430" s="52" t="s">
        <v>79</v>
      </c>
      <c r="Z430" s="52"/>
      <c r="AA430" s="53"/>
      <c r="AB430" s="392">
        <f t="shared" si="212"/>
        <v>20397.412737404582</v>
      </c>
      <c r="AC430" s="54"/>
      <c r="AD430" s="33">
        <f t="shared" si="213"/>
        <v>81.155500000000004</v>
      </c>
      <c r="AE430" s="48"/>
    </row>
    <row r="431" spans="1:31" s="59" customFormat="1" ht="15.75" customHeight="1">
      <c r="A431" s="6" t="s">
        <v>135</v>
      </c>
      <c r="B431" s="10" t="str">
        <f>VLOOKUP(A431,[1]Sheet1!$A:$B,2,0)</f>
        <v>RCS POD</v>
      </c>
      <c r="C431" s="37" t="s">
        <v>105</v>
      </c>
      <c r="D431" s="44">
        <v>130010390000258</v>
      </c>
      <c r="E431" s="22" t="s">
        <v>74</v>
      </c>
      <c r="F431" s="48" t="s">
        <v>75</v>
      </c>
      <c r="G431" s="49" t="s">
        <v>76</v>
      </c>
      <c r="H431" s="50">
        <v>2023</v>
      </c>
      <c r="I431" s="334">
        <v>11</v>
      </c>
      <c r="J431" s="338">
        <v>45608</v>
      </c>
      <c r="K431" s="240"/>
      <c r="L431" s="369">
        <v>5.4800000000000001E-2</v>
      </c>
      <c r="M431" s="369">
        <v>6.2834351145038173E-2</v>
      </c>
      <c r="N431" s="370">
        <v>8.0000000000000002E-3</v>
      </c>
      <c r="O431" s="371">
        <f t="shared" si="186"/>
        <v>0</v>
      </c>
      <c r="P431" s="370">
        <v>1</v>
      </c>
      <c r="Q431" s="370">
        <f t="shared" si="185"/>
        <v>5.4800000000000001E-2</v>
      </c>
      <c r="R431" s="51">
        <v>357947</v>
      </c>
      <c r="S431" s="33">
        <v>2669019</v>
      </c>
      <c r="T431" s="382">
        <v>2020800</v>
      </c>
      <c r="U431" s="382">
        <f t="shared" si="211"/>
        <v>1999447.848</v>
      </c>
      <c r="V431" s="22" t="s">
        <v>88</v>
      </c>
      <c r="W431" s="22" t="s">
        <v>78</v>
      </c>
      <c r="X431" s="52">
        <v>0.25</v>
      </c>
      <c r="Y431" s="52" t="s">
        <v>79</v>
      </c>
      <c r="Z431" s="52"/>
      <c r="AA431" s="53"/>
      <c r="AB431" s="392">
        <f t="shared" si="212"/>
        <v>22491.367489312979</v>
      </c>
      <c r="AC431" s="54"/>
      <c r="AD431" s="33">
        <f t="shared" si="213"/>
        <v>89.486750000000001</v>
      </c>
      <c r="AE431" s="48"/>
    </row>
    <row r="432" spans="1:31" s="59" customFormat="1" ht="15.75" customHeight="1">
      <c r="A432" s="6" t="s">
        <v>135</v>
      </c>
      <c r="B432" s="10" t="str">
        <f>VLOOKUP(A432,[1]Sheet1!$A:$B,2,0)</f>
        <v>RCS POD</v>
      </c>
      <c r="C432" s="37" t="s">
        <v>105</v>
      </c>
      <c r="D432" s="44">
        <v>130010390000258</v>
      </c>
      <c r="E432" s="22" t="s">
        <v>74</v>
      </c>
      <c r="F432" s="48" t="s">
        <v>75</v>
      </c>
      <c r="G432" s="49" t="s">
        <v>76</v>
      </c>
      <c r="H432" s="50">
        <v>2023</v>
      </c>
      <c r="I432" s="334">
        <v>12</v>
      </c>
      <c r="J432" s="338">
        <v>45608</v>
      </c>
      <c r="K432" s="240"/>
      <c r="L432" s="369">
        <v>5.4800000000000001E-2</v>
      </c>
      <c r="M432" s="369">
        <v>6.2834351145038173E-2</v>
      </c>
      <c r="N432" s="370">
        <v>8.0000000000000002E-3</v>
      </c>
      <c r="O432" s="371">
        <f t="shared" si="186"/>
        <v>0</v>
      </c>
      <c r="P432" s="370">
        <v>1</v>
      </c>
      <c r="Q432" s="370">
        <f t="shared" si="185"/>
        <v>5.4800000000000001E-2</v>
      </c>
      <c r="R432" s="51">
        <v>256860</v>
      </c>
      <c r="S432" s="33">
        <v>2925879</v>
      </c>
      <c r="T432" s="382">
        <v>2020800</v>
      </c>
      <c r="U432" s="382">
        <f t="shared" ref="U432" si="214">T432-N432*S432</f>
        <v>1997392.9680000001</v>
      </c>
      <c r="V432" s="22" t="s">
        <v>88</v>
      </c>
      <c r="W432" s="22" t="s">
        <v>78</v>
      </c>
      <c r="X432" s="52">
        <v>0.25</v>
      </c>
      <c r="Y432" s="52" t="s">
        <v>79</v>
      </c>
      <c r="Z432" s="52"/>
      <c r="AA432" s="53"/>
      <c r="AB432" s="392">
        <f t="shared" ref="AB432:AB433" si="215">M432*R432</f>
        <v>16139.631435114505</v>
      </c>
      <c r="AC432" s="54"/>
      <c r="AD432" s="33">
        <f t="shared" ref="AD432:AD433" si="216">R432*X432/1000</f>
        <v>64.215000000000003</v>
      </c>
      <c r="AE432" s="48"/>
    </row>
    <row r="433" spans="1:32" s="55" customFormat="1" ht="15.75" customHeight="1">
      <c r="A433" s="6" t="s">
        <v>135</v>
      </c>
      <c r="B433" s="10" t="str">
        <f>VLOOKUP(A433,[1]Sheet1!$A:$B,2,0)</f>
        <v>RCS POD</v>
      </c>
      <c r="C433" s="37" t="s">
        <v>104</v>
      </c>
      <c r="D433" s="44">
        <v>130010390000259</v>
      </c>
      <c r="E433" s="22" t="s">
        <v>74</v>
      </c>
      <c r="F433" s="48" t="s">
        <v>75</v>
      </c>
      <c r="G433" s="49" t="s">
        <v>76</v>
      </c>
      <c r="H433" s="50">
        <v>2024</v>
      </c>
      <c r="I433" s="334">
        <v>2</v>
      </c>
      <c r="J433" s="338">
        <v>45608</v>
      </c>
      <c r="K433" s="240"/>
      <c r="L433" s="399">
        <v>7.0400000000000004E-2</v>
      </c>
      <c r="M433" s="399">
        <v>7.9881981981981987E-2</v>
      </c>
      <c r="N433" s="404">
        <v>9.4999999999999998E-3</v>
      </c>
      <c r="O433" s="371">
        <f t="shared" si="186"/>
        <v>0</v>
      </c>
      <c r="P433" s="370">
        <v>1</v>
      </c>
      <c r="Q433" s="370">
        <f t="shared" si="185"/>
        <v>7.0400000000000004E-2</v>
      </c>
      <c r="R433" s="51">
        <v>30000</v>
      </c>
      <c r="S433" s="33">
        <f>S424+R433</f>
        <v>3408151</v>
      </c>
      <c r="T433" s="382">
        <v>2020800</v>
      </c>
      <c r="U433" s="382">
        <f>T433-N433*S433</f>
        <v>1988422.5655</v>
      </c>
      <c r="V433" s="22" t="s">
        <v>88</v>
      </c>
      <c r="W433" s="22" t="s">
        <v>78</v>
      </c>
      <c r="X433" s="52">
        <v>0.5</v>
      </c>
      <c r="Y433" s="52" t="s">
        <v>79</v>
      </c>
      <c r="Z433" s="52"/>
      <c r="AA433" s="53"/>
      <c r="AB433" s="392">
        <f t="shared" si="215"/>
        <v>2396.4594594594596</v>
      </c>
      <c r="AC433" s="54"/>
      <c r="AD433" s="33">
        <f t="shared" si="216"/>
        <v>15</v>
      </c>
      <c r="AE433" s="48"/>
    </row>
    <row r="434" spans="1:32" s="59" customFormat="1" ht="15.75" customHeight="1">
      <c r="A434" s="6" t="s">
        <v>135</v>
      </c>
      <c r="B434" s="10" t="str">
        <f>VLOOKUP(A434,[1]Sheet1!$A:$B,2,0)</f>
        <v>RCS POD</v>
      </c>
      <c r="C434" s="37" t="s">
        <v>105</v>
      </c>
      <c r="D434" s="44">
        <v>130010390000258</v>
      </c>
      <c r="E434" s="22" t="s">
        <v>74</v>
      </c>
      <c r="F434" s="48" t="s">
        <v>75</v>
      </c>
      <c r="G434" s="49" t="s">
        <v>76</v>
      </c>
      <c r="H434" s="50">
        <v>2024</v>
      </c>
      <c r="I434" s="334">
        <v>1</v>
      </c>
      <c r="J434" s="338">
        <v>45608</v>
      </c>
      <c r="K434" s="240"/>
      <c r="L434" s="399">
        <v>5.4800000000000001E-2</v>
      </c>
      <c r="M434" s="399">
        <v>6.2834351145038173E-2</v>
      </c>
      <c r="N434" s="404">
        <v>8.0000000000000002E-3</v>
      </c>
      <c r="O434" s="371">
        <f t="shared" si="186"/>
        <v>0</v>
      </c>
      <c r="P434" s="370">
        <v>1</v>
      </c>
      <c r="Q434" s="370">
        <f t="shared" si="185"/>
        <v>5.4800000000000001E-2</v>
      </c>
      <c r="R434" s="51">
        <v>355270</v>
      </c>
      <c r="S434" s="33">
        <v>3281149</v>
      </c>
      <c r="T434" s="382">
        <v>2020800</v>
      </c>
      <c r="U434" s="382">
        <f t="shared" ref="U434" si="217">T434-N434*S434</f>
        <v>1994550.808</v>
      </c>
      <c r="V434" s="22" t="s">
        <v>88</v>
      </c>
      <c r="W434" s="22" t="s">
        <v>78</v>
      </c>
      <c r="X434" s="52">
        <v>0.25</v>
      </c>
      <c r="Y434" s="52" t="s">
        <v>79</v>
      </c>
      <c r="Z434" s="52"/>
      <c r="AA434" s="53"/>
      <c r="AB434" s="392">
        <f t="shared" ref="AB434" si="218">M434*R434</f>
        <v>22323.159931297712</v>
      </c>
      <c r="AC434" s="54"/>
      <c r="AD434" s="33">
        <f t="shared" ref="AD434" si="219">R434*X434/1000</f>
        <v>88.817499999999995</v>
      </c>
      <c r="AE434" s="48"/>
    </row>
    <row r="435" spans="1:32" s="59" customFormat="1" ht="15.75" customHeight="1">
      <c r="A435" s="6" t="s">
        <v>135</v>
      </c>
      <c r="B435" s="10" t="str">
        <f>VLOOKUP(A435,[1]Sheet1!$A:$B,2,0)</f>
        <v>RCS POD</v>
      </c>
      <c r="C435" s="37" t="s">
        <v>105</v>
      </c>
      <c r="D435" s="44">
        <v>130010390000258</v>
      </c>
      <c r="E435" s="22" t="s">
        <v>74</v>
      </c>
      <c r="F435" s="48" t="s">
        <v>75</v>
      </c>
      <c r="G435" s="49" t="s">
        <v>76</v>
      </c>
      <c r="H435" s="50">
        <v>2024</v>
      </c>
      <c r="I435" s="334">
        <v>2</v>
      </c>
      <c r="J435" s="338">
        <v>45608</v>
      </c>
      <c r="K435" s="240"/>
      <c r="L435" s="399">
        <v>5.4800000000000001E-2</v>
      </c>
      <c r="M435" s="399">
        <v>6.2834351145038173E-2</v>
      </c>
      <c r="N435" s="404">
        <v>8.0000000000000002E-3</v>
      </c>
      <c r="O435" s="371">
        <f t="shared" si="186"/>
        <v>0</v>
      </c>
      <c r="P435" s="370">
        <v>1</v>
      </c>
      <c r="Q435" s="370">
        <f t="shared" si="185"/>
        <v>5.4800000000000001E-2</v>
      </c>
      <c r="R435" s="51">
        <v>30000</v>
      </c>
      <c r="S435" s="33">
        <v>3281149</v>
      </c>
      <c r="T435" s="382">
        <v>2020800</v>
      </c>
      <c r="U435" s="382">
        <f t="shared" ref="U435:U442" si="220">T435-N435*S435</f>
        <v>1994550.808</v>
      </c>
      <c r="V435" s="22" t="s">
        <v>88</v>
      </c>
      <c r="W435" s="22" t="s">
        <v>78</v>
      </c>
      <c r="X435" s="52">
        <v>0.25</v>
      </c>
      <c r="Y435" s="52" t="s">
        <v>79</v>
      </c>
      <c r="Z435" s="52"/>
      <c r="AA435" s="53"/>
      <c r="AB435" s="392">
        <f t="shared" ref="AB435:AB477" si="221">M435*R435</f>
        <v>1885.0305343511452</v>
      </c>
      <c r="AC435" s="54"/>
      <c r="AD435" s="33">
        <f t="shared" ref="AD435:AD478" si="222">R435*X435/1000</f>
        <v>7.5</v>
      </c>
      <c r="AE435" s="48"/>
    </row>
    <row r="436" spans="1:32" s="254" customFormat="1" ht="15.75" customHeight="1">
      <c r="A436" s="326" t="s">
        <v>136</v>
      </c>
      <c r="B436" s="48" t="str">
        <f>VLOOKUP(A436,[1]Sheet1!$A:$B,2,0)</f>
        <v>RCS DEVICE</v>
      </c>
      <c r="C436" s="20" t="s">
        <v>137</v>
      </c>
      <c r="D436" s="251" t="s">
        <v>75</v>
      </c>
      <c r="E436" s="250" t="s">
        <v>74</v>
      </c>
      <c r="F436" s="252" t="s">
        <v>75</v>
      </c>
      <c r="G436" s="49" t="s">
        <v>76</v>
      </c>
      <c r="H436" s="50">
        <v>2023</v>
      </c>
      <c r="I436" s="335">
        <v>1</v>
      </c>
      <c r="J436" s="338">
        <v>45608</v>
      </c>
      <c r="K436" s="249"/>
      <c r="L436" s="374">
        <v>0.38540000000000002</v>
      </c>
      <c r="M436" s="374">
        <v>0.64670000000000005</v>
      </c>
      <c r="N436" s="375">
        <v>0.26129999999999998</v>
      </c>
      <c r="O436" s="371">
        <f t="shared" si="186"/>
        <v>0</v>
      </c>
      <c r="P436" s="370">
        <v>1</v>
      </c>
      <c r="Q436" s="370">
        <f t="shared" si="185"/>
        <v>0.38540000000000002</v>
      </c>
      <c r="R436" s="189">
        <v>0</v>
      </c>
      <c r="S436" s="190">
        <v>0</v>
      </c>
      <c r="T436" s="384">
        <v>392000</v>
      </c>
      <c r="U436" s="384">
        <f>T436-N436*S436</f>
        <v>392000</v>
      </c>
      <c r="V436" s="250" t="s">
        <v>138</v>
      </c>
      <c r="W436" s="22" t="s">
        <v>78</v>
      </c>
      <c r="X436" s="191">
        <v>2.2999999999999998</v>
      </c>
      <c r="Y436" s="191" t="s">
        <v>83</v>
      </c>
      <c r="Z436" s="191"/>
      <c r="AA436" s="192"/>
      <c r="AB436" s="395">
        <f t="shared" si="221"/>
        <v>0</v>
      </c>
      <c r="AC436" s="253"/>
      <c r="AD436" s="190">
        <f t="shared" si="222"/>
        <v>0</v>
      </c>
      <c r="AE436" s="252" t="s">
        <v>139</v>
      </c>
      <c r="AF436" s="254" t="s">
        <v>140</v>
      </c>
    </row>
    <row r="437" spans="1:32" s="254" customFormat="1" ht="15.75" customHeight="1">
      <c r="A437" s="326" t="s">
        <v>136</v>
      </c>
      <c r="B437" s="48" t="str">
        <f>VLOOKUP(A437,[1]Sheet1!$A:$B,2,0)</f>
        <v>RCS DEVICE</v>
      </c>
      <c r="C437" s="20" t="s">
        <v>141</v>
      </c>
      <c r="D437" s="251" t="s">
        <v>75</v>
      </c>
      <c r="E437" s="250" t="s">
        <v>74</v>
      </c>
      <c r="F437" s="252" t="s">
        <v>75</v>
      </c>
      <c r="G437" s="49" t="s">
        <v>76</v>
      </c>
      <c r="H437" s="50">
        <v>2023</v>
      </c>
      <c r="I437" s="335">
        <v>1</v>
      </c>
      <c r="J437" s="338">
        <v>45608</v>
      </c>
      <c r="K437" s="249"/>
      <c r="L437" s="374">
        <v>0.12189999999999999</v>
      </c>
      <c r="M437" s="374">
        <v>0.22459999999999999</v>
      </c>
      <c r="N437" s="375">
        <v>0.1027</v>
      </c>
      <c r="O437" s="371">
        <f t="shared" si="186"/>
        <v>0</v>
      </c>
      <c r="P437" s="370">
        <v>1</v>
      </c>
      <c r="Q437" s="370">
        <f t="shared" si="185"/>
        <v>0.12189999999999999</v>
      </c>
      <c r="R437" s="189">
        <v>0</v>
      </c>
      <c r="S437" s="190">
        <v>0</v>
      </c>
      <c r="T437" s="384">
        <v>154000</v>
      </c>
      <c r="U437" s="384">
        <f t="shared" si="220"/>
        <v>154000</v>
      </c>
      <c r="V437" s="250" t="s">
        <v>117</v>
      </c>
      <c r="W437" s="22" t="s">
        <v>78</v>
      </c>
      <c r="X437" s="191">
        <v>0.45</v>
      </c>
      <c r="Y437" s="191" t="s">
        <v>142</v>
      </c>
      <c r="Z437" s="191"/>
      <c r="AA437" s="192"/>
      <c r="AB437" s="395">
        <f t="shared" si="221"/>
        <v>0</v>
      </c>
      <c r="AC437" s="253"/>
      <c r="AD437" s="190">
        <f t="shared" si="222"/>
        <v>0</v>
      </c>
      <c r="AE437" s="252" t="s">
        <v>139</v>
      </c>
      <c r="AF437" s="254" t="s">
        <v>140</v>
      </c>
    </row>
    <row r="438" spans="1:32" s="254" customFormat="1" ht="15.75" customHeight="1">
      <c r="A438" s="326" t="s">
        <v>13</v>
      </c>
      <c r="B438" s="48" t="str">
        <f>VLOOKUP(A438,[1]Sheet1!$A:$B,2,0)</f>
        <v>RCS DEVICE</v>
      </c>
      <c r="C438" s="20" t="s">
        <v>143</v>
      </c>
      <c r="D438" s="251" t="s">
        <v>75</v>
      </c>
      <c r="E438" s="250" t="s">
        <v>74</v>
      </c>
      <c r="F438" s="252" t="s">
        <v>75</v>
      </c>
      <c r="G438" s="49" t="s">
        <v>76</v>
      </c>
      <c r="H438" s="50">
        <v>2023</v>
      </c>
      <c r="I438" s="335">
        <v>1</v>
      </c>
      <c r="J438" s="338">
        <v>45608</v>
      </c>
      <c r="K438" s="249"/>
      <c r="L438" s="374">
        <v>0.50470000000000004</v>
      </c>
      <c r="M438" s="374">
        <v>0.83699999999999997</v>
      </c>
      <c r="N438" s="374">
        <v>0.33229999999999998</v>
      </c>
      <c r="O438" s="371">
        <f t="shared" si="186"/>
        <v>0</v>
      </c>
      <c r="P438" s="370">
        <v>1</v>
      </c>
      <c r="Q438" s="370">
        <f t="shared" si="185"/>
        <v>0.50470000000000004</v>
      </c>
      <c r="R438" s="189">
        <v>26900</v>
      </c>
      <c r="S438" s="190">
        <v>1813855</v>
      </c>
      <c r="T438" s="384">
        <f>498400*2</f>
        <v>996800</v>
      </c>
      <c r="U438" s="384">
        <f>T438-N438*S438</f>
        <v>394055.98349999997</v>
      </c>
      <c r="V438" s="250" t="s">
        <v>138</v>
      </c>
      <c r="W438" s="22" t="s">
        <v>78</v>
      </c>
      <c r="X438" s="191">
        <v>2.2999999999999998</v>
      </c>
      <c r="Y438" s="191" t="s">
        <v>83</v>
      </c>
      <c r="Z438" s="191"/>
      <c r="AA438" s="192"/>
      <c r="AB438" s="395">
        <f t="shared" si="221"/>
        <v>22515.3</v>
      </c>
      <c r="AC438" s="253"/>
      <c r="AD438" s="190">
        <f t="shared" si="222"/>
        <v>61.86999999999999</v>
      </c>
      <c r="AE438" s="252" t="s">
        <v>140</v>
      </c>
    </row>
    <row r="439" spans="1:32" s="254" customFormat="1" ht="15.75" customHeight="1">
      <c r="A439" s="326" t="s">
        <v>13</v>
      </c>
      <c r="B439" s="48" t="str">
        <f>VLOOKUP(A439,[1]Sheet1!$A:$B,2,0)</f>
        <v>RCS DEVICE</v>
      </c>
      <c r="C439" s="20" t="s">
        <v>144</v>
      </c>
      <c r="D439" s="251" t="s">
        <v>75</v>
      </c>
      <c r="E439" s="250" t="s">
        <v>74</v>
      </c>
      <c r="F439" s="252" t="s">
        <v>75</v>
      </c>
      <c r="G439" s="49" t="s">
        <v>76</v>
      </c>
      <c r="H439" s="50">
        <v>2023</v>
      </c>
      <c r="I439" s="335">
        <v>1</v>
      </c>
      <c r="J439" s="338">
        <v>45608</v>
      </c>
      <c r="K439" s="249"/>
      <c r="L439" s="374">
        <v>0.14369999999999999</v>
      </c>
      <c r="M439" s="374">
        <v>0.2767</v>
      </c>
      <c r="N439" s="374">
        <v>0.13300000000000001</v>
      </c>
      <c r="O439" s="371">
        <f t="shared" si="186"/>
        <v>0</v>
      </c>
      <c r="P439" s="370">
        <v>1</v>
      </c>
      <c r="Q439" s="370">
        <f t="shared" si="185"/>
        <v>0.14369999999999999</v>
      </c>
      <c r="R439" s="189">
        <v>26700</v>
      </c>
      <c r="S439" s="190">
        <v>1769993</v>
      </c>
      <c r="T439" s="384">
        <v>199500</v>
      </c>
      <c r="U439" s="384">
        <f t="shared" si="220"/>
        <v>-35909.069000000018</v>
      </c>
      <c r="V439" s="250" t="s">
        <v>117</v>
      </c>
      <c r="W439" s="22" t="s">
        <v>78</v>
      </c>
      <c r="X439" s="191">
        <v>0.48</v>
      </c>
      <c r="Y439" s="191" t="s">
        <v>142</v>
      </c>
      <c r="Z439" s="191"/>
      <c r="AA439" s="192"/>
      <c r="AB439" s="395">
        <f t="shared" si="221"/>
        <v>7387.89</v>
      </c>
      <c r="AC439" s="253"/>
      <c r="AD439" s="190">
        <f t="shared" si="222"/>
        <v>12.816000000000001</v>
      </c>
      <c r="AE439" s="252" t="s">
        <v>140</v>
      </c>
    </row>
    <row r="440" spans="1:32" s="254" customFormat="1" ht="15.75" customHeight="1">
      <c r="A440" s="326" t="s">
        <v>13</v>
      </c>
      <c r="B440" s="48" t="str">
        <f>VLOOKUP(A440,[1]Sheet1!$A:$B,2,0)</f>
        <v>RCS DEVICE</v>
      </c>
      <c r="C440" s="20" t="s">
        <v>145</v>
      </c>
      <c r="D440" s="251" t="s">
        <v>75</v>
      </c>
      <c r="E440" s="250" t="s">
        <v>74</v>
      </c>
      <c r="F440" s="252" t="s">
        <v>75</v>
      </c>
      <c r="G440" s="49" t="s">
        <v>76</v>
      </c>
      <c r="H440" s="50">
        <v>2023</v>
      </c>
      <c r="I440" s="335">
        <v>1</v>
      </c>
      <c r="J440" s="338">
        <v>45608</v>
      </c>
      <c r="K440" s="249"/>
      <c r="L440" s="374">
        <v>0.13350000000000001</v>
      </c>
      <c r="M440" s="374">
        <v>0.2135</v>
      </c>
      <c r="N440" s="374">
        <v>0.08</v>
      </c>
      <c r="O440" s="371">
        <f t="shared" si="186"/>
        <v>0</v>
      </c>
      <c r="P440" s="370">
        <v>1</v>
      </c>
      <c r="Q440" s="370">
        <f t="shared" si="185"/>
        <v>0.13350000000000001</v>
      </c>
      <c r="R440" s="189">
        <v>26700</v>
      </c>
      <c r="S440" s="190">
        <v>1793547</v>
      </c>
      <c r="T440" s="384">
        <v>120000</v>
      </c>
      <c r="U440" s="384">
        <f t="shared" si="220"/>
        <v>-23483.760000000009</v>
      </c>
      <c r="V440" s="250" t="s">
        <v>117</v>
      </c>
      <c r="W440" s="22" t="s">
        <v>78</v>
      </c>
      <c r="X440" s="191">
        <v>0.5</v>
      </c>
      <c r="Y440" s="191" t="s">
        <v>142</v>
      </c>
      <c r="Z440" s="191"/>
      <c r="AA440" s="192"/>
      <c r="AB440" s="395">
        <f t="shared" si="221"/>
        <v>5700.45</v>
      </c>
      <c r="AC440" s="253"/>
      <c r="AD440" s="190">
        <f t="shared" si="222"/>
        <v>13.35</v>
      </c>
      <c r="AE440" s="252" t="s">
        <v>140</v>
      </c>
    </row>
    <row r="441" spans="1:32" s="254" customFormat="1" ht="15.75" customHeight="1">
      <c r="A441" s="326" t="s">
        <v>13</v>
      </c>
      <c r="B441" s="48" t="str">
        <f>VLOOKUP(A441,[1]Sheet1!$A:$B,2,0)</f>
        <v>RCS DEVICE</v>
      </c>
      <c r="C441" s="20" t="s">
        <v>146</v>
      </c>
      <c r="D441" s="251" t="s">
        <v>75</v>
      </c>
      <c r="E441" s="250" t="s">
        <v>74</v>
      </c>
      <c r="F441" s="252" t="s">
        <v>75</v>
      </c>
      <c r="G441" s="49" t="s">
        <v>76</v>
      </c>
      <c r="H441" s="50">
        <v>2023</v>
      </c>
      <c r="I441" s="335">
        <v>1</v>
      </c>
      <c r="J441" s="338">
        <v>45608</v>
      </c>
      <c r="K441" s="249"/>
      <c r="L441" s="374">
        <v>0.14510000000000001</v>
      </c>
      <c r="M441" s="374">
        <v>0.3014</v>
      </c>
      <c r="N441" s="374">
        <v>0.15629999999999999</v>
      </c>
      <c r="O441" s="371">
        <f t="shared" si="186"/>
        <v>0</v>
      </c>
      <c r="P441" s="370">
        <v>1</v>
      </c>
      <c r="Q441" s="370">
        <f t="shared" si="185"/>
        <v>0.14510000000000001</v>
      </c>
      <c r="R441" s="189">
        <v>26600</v>
      </c>
      <c r="S441" s="190">
        <v>1890456</v>
      </c>
      <c r="T441" s="384">
        <v>234500</v>
      </c>
      <c r="U441" s="384">
        <f t="shared" si="220"/>
        <v>-60978.272799999977</v>
      </c>
      <c r="V441" s="250" t="s">
        <v>138</v>
      </c>
      <c r="W441" s="22" t="s">
        <v>78</v>
      </c>
      <c r="X441" s="191">
        <v>0.7</v>
      </c>
      <c r="Y441" s="191" t="s">
        <v>83</v>
      </c>
      <c r="Z441" s="191"/>
      <c r="AA441" s="192"/>
      <c r="AB441" s="395">
        <f t="shared" si="221"/>
        <v>8017.24</v>
      </c>
      <c r="AC441" s="253"/>
      <c r="AD441" s="190">
        <f t="shared" si="222"/>
        <v>18.62</v>
      </c>
      <c r="AE441" s="252" t="s">
        <v>140</v>
      </c>
    </row>
    <row r="442" spans="1:32" s="38" customFormat="1" ht="15.75" customHeight="1">
      <c r="A442" s="6" t="s">
        <v>96</v>
      </c>
      <c r="B442" s="10" t="str">
        <f>VLOOKUP(A442,[1]Sheet1!$A:$B,2,0)</f>
        <v>MODI</v>
      </c>
      <c r="C442" s="37" t="s">
        <v>97</v>
      </c>
      <c r="D442" s="6">
        <v>353003232</v>
      </c>
      <c r="E442" s="6" t="s">
        <v>74</v>
      </c>
      <c r="F442" s="10" t="s">
        <v>75</v>
      </c>
      <c r="G442" s="39" t="s">
        <v>76</v>
      </c>
      <c r="H442" s="40">
        <v>2024</v>
      </c>
      <c r="I442" s="334">
        <v>10</v>
      </c>
      <c r="J442" s="338">
        <v>45608</v>
      </c>
      <c r="K442" s="240"/>
      <c r="L442" s="400">
        <v>0.5</v>
      </c>
      <c r="M442" s="400">
        <v>0.56640000000000001</v>
      </c>
      <c r="N442" s="405">
        <v>6.6400000000000001E-2</v>
      </c>
      <c r="O442" s="371">
        <f t="shared" si="186"/>
        <v>0</v>
      </c>
      <c r="P442" s="370">
        <v>1</v>
      </c>
      <c r="Q442" s="370">
        <f t="shared" si="185"/>
        <v>0.5</v>
      </c>
      <c r="R442" s="23">
        <v>14262</v>
      </c>
      <c r="S442" s="15">
        <f>S373+R442</f>
        <v>6868113</v>
      </c>
      <c r="T442" s="382">
        <v>830000</v>
      </c>
      <c r="U442" s="382">
        <f t="shared" si="220"/>
        <v>373957.29680000001</v>
      </c>
      <c r="V442" s="6" t="s">
        <v>82</v>
      </c>
      <c r="W442" s="22" t="s">
        <v>78</v>
      </c>
      <c r="X442" s="27">
        <v>8</v>
      </c>
      <c r="Y442" s="27" t="s">
        <v>83</v>
      </c>
      <c r="Z442" s="27"/>
      <c r="AA442" s="16"/>
      <c r="AB442" s="393">
        <f t="shared" si="221"/>
        <v>8077.9967999999999</v>
      </c>
      <c r="AC442" s="17"/>
      <c r="AD442" s="15">
        <f t="shared" si="222"/>
        <v>114.096</v>
      </c>
      <c r="AE442" s="10"/>
    </row>
    <row r="443" spans="1:32" s="38" customFormat="1" ht="15.75" customHeight="1">
      <c r="A443" s="6" t="s">
        <v>96</v>
      </c>
      <c r="B443" s="10" t="str">
        <f>VLOOKUP(A443,[1]Sheet1!$A:$B,2,0)</f>
        <v>MODI</v>
      </c>
      <c r="C443" s="37" t="s">
        <v>98</v>
      </c>
      <c r="D443" s="6">
        <v>353003233</v>
      </c>
      <c r="E443" s="6" t="s">
        <v>74</v>
      </c>
      <c r="F443" s="10" t="s">
        <v>75</v>
      </c>
      <c r="G443" s="39" t="s">
        <v>76</v>
      </c>
      <c r="H443" s="40">
        <v>2024</v>
      </c>
      <c r="I443" s="334">
        <v>10</v>
      </c>
      <c r="J443" s="338">
        <v>45608</v>
      </c>
      <c r="K443" s="240"/>
      <c r="L443" s="400">
        <v>8.4000000000000005E-2</v>
      </c>
      <c r="M443" s="400">
        <v>0.1157</v>
      </c>
      <c r="N443" s="405">
        <v>3.1699999999999999E-2</v>
      </c>
      <c r="O443" s="371">
        <f t="shared" si="186"/>
        <v>0</v>
      </c>
      <c r="P443" s="370">
        <v>1</v>
      </c>
      <c r="Q443" s="370">
        <f t="shared" si="185"/>
        <v>8.4000000000000005E-2</v>
      </c>
      <c r="R443" s="23">
        <v>100000</v>
      </c>
      <c r="S443" s="15">
        <f>S374+R443</f>
        <v>8484287</v>
      </c>
      <c r="T443" s="382">
        <v>396100</v>
      </c>
      <c r="U443" s="382">
        <f>T443-N443*S443</f>
        <v>127148.10210000002</v>
      </c>
      <c r="V443" s="6" t="s">
        <v>82</v>
      </c>
      <c r="W443" s="22" t="s">
        <v>78</v>
      </c>
      <c r="X443" s="27">
        <v>1.7</v>
      </c>
      <c r="Y443" s="27" t="s">
        <v>83</v>
      </c>
      <c r="Z443" s="27"/>
      <c r="AA443" s="16"/>
      <c r="AB443" s="393">
        <f t="shared" si="221"/>
        <v>11570</v>
      </c>
      <c r="AC443" s="17"/>
      <c r="AD443" s="15">
        <f t="shared" si="222"/>
        <v>170</v>
      </c>
      <c r="AE443" s="10"/>
    </row>
    <row r="444" spans="1:32" s="38" customFormat="1" ht="15.75" customHeight="1">
      <c r="A444" s="6" t="s">
        <v>96</v>
      </c>
      <c r="B444" s="10" t="str">
        <f>VLOOKUP(A444,[1]Sheet1!$A:$B,2,0)</f>
        <v>MODI</v>
      </c>
      <c r="C444" s="37" t="s">
        <v>99</v>
      </c>
      <c r="D444" s="6">
        <v>353003231</v>
      </c>
      <c r="E444" s="6" t="s">
        <v>74</v>
      </c>
      <c r="F444" s="10" t="s">
        <v>75</v>
      </c>
      <c r="G444" s="39" t="s">
        <v>76</v>
      </c>
      <c r="H444" s="40">
        <v>2024</v>
      </c>
      <c r="I444" s="334">
        <v>10</v>
      </c>
      <c r="J444" s="338">
        <v>45608</v>
      </c>
      <c r="K444" s="240"/>
      <c r="L444" s="400">
        <v>0.2283</v>
      </c>
      <c r="M444" s="400">
        <v>0.26429999999999998</v>
      </c>
      <c r="N444" s="405">
        <v>3.5999999999999997E-2</v>
      </c>
      <c r="O444" s="371">
        <f t="shared" si="186"/>
        <v>0</v>
      </c>
      <c r="P444" s="370">
        <v>1</v>
      </c>
      <c r="Q444" s="370">
        <f t="shared" si="185"/>
        <v>0.2283</v>
      </c>
      <c r="R444" s="23">
        <v>0</v>
      </c>
      <c r="S444" s="15">
        <v>3925321</v>
      </c>
      <c r="T444" s="382">
        <v>450000</v>
      </c>
      <c r="U444" s="382">
        <f t="shared" ref="U444" si="223">T444-N444*S444</f>
        <v>308688.44400000002</v>
      </c>
      <c r="V444" s="6" t="s">
        <v>82</v>
      </c>
      <c r="W444" s="22" t="s">
        <v>78</v>
      </c>
      <c r="X444" s="27">
        <v>3.5</v>
      </c>
      <c r="Y444" s="27" t="s">
        <v>83</v>
      </c>
      <c r="Z444" s="27"/>
      <c r="AA444" s="16"/>
      <c r="AB444" s="393">
        <f t="shared" si="221"/>
        <v>0</v>
      </c>
      <c r="AC444" s="17"/>
      <c r="AD444" s="15">
        <f t="shared" si="222"/>
        <v>0</v>
      </c>
      <c r="AE444" s="10"/>
    </row>
    <row r="445" spans="1:32" s="38" customFormat="1" ht="15.75" customHeight="1">
      <c r="A445" s="6" t="s">
        <v>18</v>
      </c>
      <c r="B445" s="10" t="str">
        <f>VLOOKUP(A445,[1]Sheet1!$A:$B,2,0)</f>
        <v>RCS POD</v>
      </c>
      <c r="C445" s="6" t="s">
        <v>100</v>
      </c>
      <c r="D445" s="31">
        <v>130040670029868</v>
      </c>
      <c r="E445" s="6" t="s">
        <v>74</v>
      </c>
      <c r="F445" s="10" t="s">
        <v>75</v>
      </c>
      <c r="G445" s="39" t="s">
        <v>76</v>
      </c>
      <c r="H445" s="40">
        <v>2024</v>
      </c>
      <c r="I445" s="334">
        <v>10</v>
      </c>
      <c r="J445" s="338">
        <v>45608</v>
      </c>
      <c r="K445" s="240"/>
      <c r="L445" s="400">
        <v>0.1802</v>
      </c>
      <c r="M445" s="400">
        <v>0.21870000000000001</v>
      </c>
      <c r="N445" s="405">
        <f>0.0213+0.0118</f>
        <v>3.3099999999999997E-2</v>
      </c>
      <c r="O445" s="371">
        <f t="shared" si="186"/>
        <v>0</v>
      </c>
      <c r="P445" s="370">
        <v>1</v>
      </c>
      <c r="Q445" s="370">
        <f t="shared" si="185"/>
        <v>0.1802</v>
      </c>
      <c r="R445" s="23">
        <v>9687440</v>
      </c>
      <c r="S445" s="15">
        <f>R445+S370</f>
        <v>72226839</v>
      </c>
      <c r="T445" s="382">
        <v>8913207</v>
      </c>
      <c r="U445" s="382">
        <f>T445-N445*S445</f>
        <v>6522498.6291000005</v>
      </c>
      <c r="V445" s="6" t="s">
        <v>101</v>
      </c>
      <c r="W445" s="22" t="s">
        <v>78</v>
      </c>
      <c r="X445" s="27">
        <v>3.8</v>
      </c>
      <c r="Y445" s="6" t="s">
        <v>103</v>
      </c>
      <c r="Z445" s="6"/>
      <c r="AA445" s="16"/>
      <c r="AB445" s="393">
        <f t="shared" si="221"/>
        <v>2118643.128</v>
      </c>
      <c r="AC445" s="17"/>
      <c r="AD445" s="15">
        <f t="shared" si="222"/>
        <v>36812.271999999997</v>
      </c>
      <c r="AE445" s="10"/>
    </row>
    <row r="446" spans="1:32" s="38" customFormat="1" ht="15.75" customHeight="1">
      <c r="A446" s="6" t="s">
        <v>18</v>
      </c>
      <c r="B446" s="10" t="str">
        <f>VLOOKUP(A446,[1]Sheet1!$A:$B,2,0)</f>
        <v>RCS POD</v>
      </c>
      <c r="C446" s="37" t="s">
        <v>105</v>
      </c>
      <c r="D446" s="31">
        <v>130040670020898</v>
      </c>
      <c r="E446" s="6" t="s">
        <v>74</v>
      </c>
      <c r="F446" s="10" t="s">
        <v>75</v>
      </c>
      <c r="G446" s="39" t="s">
        <v>76</v>
      </c>
      <c r="H446" s="40">
        <v>2024</v>
      </c>
      <c r="I446" s="334">
        <v>10</v>
      </c>
      <c r="J446" s="338">
        <v>45608</v>
      </c>
      <c r="K446" s="240"/>
      <c r="L446" s="400">
        <v>5.0299999999999997E-2</v>
      </c>
      <c r="M446" s="400">
        <v>7.4499999999999997E-2</v>
      </c>
      <c r="N446" s="405">
        <v>2.4199999999999999E-2</v>
      </c>
      <c r="O446" s="371">
        <f t="shared" si="186"/>
        <v>0</v>
      </c>
      <c r="P446" s="370">
        <v>1</v>
      </c>
      <c r="Q446" s="370">
        <f t="shared" si="185"/>
        <v>5.0299999999999997E-2</v>
      </c>
      <c r="R446" s="23">
        <v>7804000</v>
      </c>
      <c r="S446" s="15">
        <f>R446+S372</f>
        <v>77446402</v>
      </c>
      <c r="T446" s="382">
        <v>5799197</v>
      </c>
      <c r="U446" s="382">
        <f t="shared" ref="U446:U477" si="224">T446-N446*S446</f>
        <v>3924994.0716000004</v>
      </c>
      <c r="V446" s="6" t="s">
        <v>88</v>
      </c>
      <c r="W446" s="22" t="s">
        <v>78</v>
      </c>
      <c r="X446" s="27">
        <v>0.24</v>
      </c>
      <c r="Y446" s="27" t="s">
        <v>79</v>
      </c>
      <c r="Z446" s="27"/>
      <c r="AA446" s="16"/>
      <c r="AB446" s="393">
        <f t="shared" si="221"/>
        <v>581398</v>
      </c>
      <c r="AC446" s="17"/>
      <c r="AD446" s="15">
        <f t="shared" si="222"/>
        <v>1872.96</v>
      </c>
      <c r="AE446" s="10"/>
    </row>
    <row r="447" spans="1:32" s="38" customFormat="1" ht="15.75" customHeight="1">
      <c r="A447" s="6" t="s">
        <v>18</v>
      </c>
      <c r="B447" s="10" t="str">
        <f>VLOOKUP(A447,[1]Sheet1!$A:$B,2,0)</f>
        <v>RCS POD</v>
      </c>
      <c r="C447" s="37" t="s">
        <v>104</v>
      </c>
      <c r="D447" s="31">
        <v>130040670020899</v>
      </c>
      <c r="E447" s="6" t="s">
        <v>74</v>
      </c>
      <c r="F447" s="10" t="s">
        <v>75</v>
      </c>
      <c r="G447" s="39" t="s">
        <v>76</v>
      </c>
      <c r="H447" s="40">
        <v>2024</v>
      </c>
      <c r="I447" s="334">
        <v>10</v>
      </c>
      <c r="J447" s="338">
        <v>45608</v>
      </c>
      <c r="K447" s="240"/>
      <c r="L447" s="400">
        <v>6.2700000000000006E-2</v>
      </c>
      <c r="M447" s="400">
        <v>8.7300000000000003E-2</v>
      </c>
      <c r="N447" s="405">
        <v>2.46E-2</v>
      </c>
      <c r="O447" s="371">
        <f t="shared" si="186"/>
        <v>0</v>
      </c>
      <c r="P447" s="370">
        <v>1</v>
      </c>
      <c r="Q447" s="370">
        <f t="shared" si="185"/>
        <v>6.2700000000000006E-2</v>
      </c>
      <c r="R447" s="23">
        <v>9572000</v>
      </c>
      <c r="S447" s="15">
        <f>R447+S371</f>
        <v>76854300</v>
      </c>
      <c r="T447" s="382">
        <v>5893484</v>
      </c>
      <c r="U447" s="382">
        <f t="shared" si="224"/>
        <v>4002868.2199999997</v>
      </c>
      <c r="V447" s="6" t="s">
        <v>88</v>
      </c>
      <c r="W447" s="22" t="s">
        <v>78</v>
      </c>
      <c r="X447" s="27">
        <v>0.53</v>
      </c>
      <c r="Y447" s="27" t="s">
        <v>79</v>
      </c>
      <c r="Z447" s="27"/>
      <c r="AA447" s="16"/>
      <c r="AB447" s="393">
        <f t="shared" si="221"/>
        <v>835635.6</v>
      </c>
      <c r="AC447" s="17"/>
      <c r="AD447" s="15">
        <f t="shared" si="222"/>
        <v>5073.16</v>
      </c>
      <c r="AE447" s="10"/>
    </row>
    <row r="448" spans="1:32" s="38" customFormat="1" ht="15.75" customHeight="1">
      <c r="A448" s="6" t="s">
        <v>86</v>
      </c>
      <c r="B448" s="10" t="str">
        <f>VLOOKUP(A448,[1]Sheet1!$A:$B,2,0)</f>
        <v>MODI</v>
      </c>
      <c r="C448" s="20" t="s">
        <v>87</v>
      </c>
      <c r="D448" s="31">
        <v>310493191000</v>
      </c>
      <c r="E448" s="6" t="s">
        <v>74</v>
      </c>
      <c r="F448" s="10" t="s">
        <v>75</v>
      </c>
      <c r="G448" s="39" t="s">
        <v>76</v>
      </c>
      <c r="H448" s="40">
        <v>2024</v>
      </c>
      <c r="I448" s="334">
        <v>10</v>
      </c>
      <c r="J448" s="338">
        <v>45608</v>
      </c>
      <c r="K448" s="240"/>
      <c r="L448" s="400">
        <v>0.28620000000000001</v>
      </c>
      <c r="M448" s="400">
        <v>0.31727334999999995</v>
      </c>
      <c r="N448" s="405">
        <v>3.1099999999999999E-2</v>
      </c>
      <c r="O448" s="371">
        <f t="shared" si="186"/>
        <v>0</v>
      </c>
      <c r="P448" s="370">
        <v>1</v>
      </c>
      <c r="Q448" s="370">
        <f t="shared" si="185"/>
        <v>0.28620000000000001</v>
      </c>
      <c r="R448" s="24">
        <v>33743</v>
      </c>
      <c r="S448" s="15">
        <f>S365+R448</f>
        <v>48492176</v>
      </c>
      <c r="T448" s="382">
        <v>5970000</v>
      </c>
      <c r="U448" s="382">
        <f t="shared" si="224"/>
        <v>4461893.3264000006</v>
      </c>
      <c r="V448" s="34" t="s">
        <v>88</v>
      </c>
      <c r="W448" s="22" t="s">
        <v>78</v>
      </c>
      <c r="X448" s="27">
        <v>4.03</v>
      </c>
      <c r="Y448" s="27" t="s">
        <v>79</v>
      </c>
      <c r="Z448" s="27"/>
      <c r="AA448" s="16"/>
      <c r="AB448" s="393">
        <f t="shared" si="221"/>
        <v>10705.754649049999</v>
      </c>
      <c r="AC448" s="17"/>
      <c r="AD448" s="15">
        <f t="shared" si="222"/>
        <v>135.98429000000002</v>
      </c>
      <c r="AE448" s="10"/>
    </row>
    <row r="449" spans="1:31" s="38" customFormat="1" ht="15.75" customHeight="1">
      <c r="A449" s="6" t="s">
        <v>86</v>
      </c>
      <c r="B449" s="10" t="str">
        <f>VLOOKUP(A449,[1]Sheet1!$A:$B,2,0)</f>
        <v>MODI</v>
      </c>
      <c r="C449" s="20" t="s">
        <v>89</v>
      </c>
      <c r="D449" s="31">
        <v>310493192000</v>
      </c>
      <c r="E449" s="6" t="s">
        <v>74</v>
      </c>
      <c r="F449" s="10" t="s">
        <v>75</v>
      </c>
      <c r="G449" s="39" t="s">
        <v>76</v>
      </c>
      <c r="H449" s="40">
        <v>2024</v>
      </c>
      <c r="I449" s="334">
        <v>10</v>
      </c>
      <c r="J449" s="338">
        <v>45608</v>
      </c>
      <c r="K449" s="240"/>
      <c r="L449" s="400">
        <v>4.5900000000000003E-2</v>
      </c>
      <c r="M449" s="400">
        <v>5.6375000000000001E-2</v>
      </c>
      <c r="N449" s="405">
        <v>1.0500000000000001E-2</v>
      </c>
      <c r="O449" s="371">
        <f t="shared" si="186"/>
        <v>0</v>
      </c>
      <c r="P449" s="370">
        <v>1</v>
      </c>
      <c r="Q449" s="370">
        <f t="shared" si="185"/>
        <v>4.5900000000000003E-2</v>
      </c>
      <c r="R449" s="23">
        <v>0</v>
      </c>
      <c r="S449" s="15">
        <f>R449+S366</f>
        <v>51213261</v>
      </c>
      <c r="T449" s="382">
        <v>2514000</v>
      </c>
      <c r="U449" s="382">
        <f t="shared" si="224"/>
        <v>1976260.7594999999</v>
      </c>
      <c r="V449" s="34" t="s">
        <v>88</v>
      </c>
      <c r="W449" s="22" t="s">
        <v>78</v>
      </c>
      <c r="X449" s="27">
        <v>0.43</v>
      </c>
      <c r="Y449" s="27" t="s">
        <v>79</v>
      </c>
      <c r="Z449" s="27"/>
      <c r="AA449" s="16"/>
      <c r="AB449" s="393">
        <f t="shared" si="221"/>
        <v>0</v>
      </c>
      <c r="AC449" s="17"/>
      <c r="AD449" s="15">
        <f t="shared" si="222"/>
        <v>0</v>
      </c>
      <c r="AE449" s="10"/>
    </row>
    <row r="450" spans="1:31" s="38" customFormat="1" ht="15.75" customHeight="1">
      <c r="A450" s="6" t="s">
        <v>86</v>
      </c>
      <c r="B450" s="10" t="str">
        <f>VLOOKUP(A450,[1]Sheet1!$A:$B,2,0)</f>
        <v>MODI</v>
      </c>
      <c r="C450" s="20" t="s">
        <v>90</v>
      </c>
      <c r="D450" s="31">
        <v>310493193000</v>
      </c>
      <c r="E450" s="6" t="s">
        <v>74</v>
      </c>
      <c r="F450" s="10" t="s">
        <v>75</v>
      </c>
      <c r="G450" s="39" t="s">
        <v>76</v>
      </c>
      <c r="H450" s="40">
        <v>2024</v>
      </c>
      <c r="I450" s="334">
        <v>10</v>
      </c>
      <c r="J450" s="338">
        <v>45608</v>
      </c>
      <c r="K450" s="240"/>
      <c r="L450" s="400">
        <v>6.8099999999999994E-2</v>
      </c>
      <c r="M450" s="400">
        <v>8.0466666666666659E-2</v>
      </c>
      <c r="N450" s="405">
        <v>1.24E-2</v>
      </c>
      <c r="O450" s="371">
        <f t="shared" si="186"/>
        <v>0</v>
      </c>
      <c r="P450" s="370">
        <v>1</v>
      </c>
      <c r="Q450" s="370">
        <f t="shared" si="185"/>
        <v>6.8099999999999994E-2</v>
      </c>
      <c r="R450" s="23">
        <v>0</v>
      </c>
      <c r="S450" s="15">
        <v>48387960</v>
      </c>
      <c r="T450" s="382">
        <v>2968000</v>
      </c>
      <c r="U450" s="382">
        <f t="shared" si="224"/>
        <v>2367989.2960000001</v>
      </c>
      <c r="V450" s="34" t="s">
        <v>88</v>
      </c>
      <c r="W450" s="22" t="s">
        <v>78</v>
      </c>
      <c r="X450" s="27">
        <v>0.6</v>
      </c>
      <c r="Y450" s="27" t="s">
        <v>79</v>
      </c>
      <c r="Z450" s="27"/>
      <c r="AA450" s="16"/>
      <c r="AB450" s="393">
        <f t="shared" si="221"/>
        <v>0</v>
      </c>
      <c r="AC450" s="17"/>
      <c r="AD450" s="15">
        <f t="shared" si="222"/>
        <v>0</v>
      </c>
      <c r="AE450" s="10"/>
    </row>
    <row r="451" spans="1:31" s="38" customFormat="1" ht="15.75" customHeight="1">
      <c r="A451" s="6" t="s">
        <v>86</v>
      </c>
      <c r="B451" s="10" t="str">
        <f>VLOOKUP(A451,[1]Sheet1!$A:$B,2,0)</f>
        <v>MODI</v>
      </c>
      <c r="C451" s="20" t="s">
        <v>91</v>
      </c>
      <c r="D451" s="31">
        <v>310493194000</v>
      </c>
      <c r="E451" s="6" t="s">
        <v>74</v>
      </c>
      <c r="F451" s="10" t="s">
        <v>75</v>
      </c>
      <c r="G451" s="39" t="s">
        <v>76</v>
      </c>
      <c r="H451" s="40">
        <v>2024</v>
      </c>
      <c r="I451" s="334">
        <v>10</v>
      </c>
      <c r="J451" s="338">
        <v>45608</v>
      </c>
      <c r="K451" s="240"/>
      <c r="L451" s="400">
        <v>7.0999999999999994E-2</v>
      </c>
      <c r="M451" s="400">
        <v>8.5166666666666654E-2</v>
      </c>
      <c r="N451" s="405">
        <v>1.4200000000000001E-2</v>
      </c>
      <c r="O451" s="371">
        <f t="shared" si="186"/>
        <v>0</v>
      </c>
      <c r="P451" s="370">
        <v>1</v>
      </c>
      <c r="Q451" s="370">
        <f t="shared" si="185"/>
        <v>7.0999999999999994E-2</v>
      </c>
      <c r="R451" s="23">
        <v>7200</v>
      </c>
      <c r="S451" s="325">
        <f>R451+S368</f>
        <v>64364329</v>
      </c>
      <c r="T451" s="382">
        <v>3400000</v>
      </c>
      <c r="U451" s="382">
        <f t="shared" si="224"/>
        <v>2486026.5282000001</v>
      </c>
      <c r="V451" s="35" t="s">
        <v>92</v>
      </c>
      <c r="W451" s="22" t="s">
        <v>78</v>
      </c>
      <c r="X451" s="27">
        <v>1</v>
      </c>
      <c r="Y451" s="27" t="s">
        <v>93</v>
      </c>
      <c r="Z451" s="27"/>
      <c r="AA451" s="16"/>
      <c r="AB451" s="393">
        <f t="shared" si="221"/>
        <v>613.19999999999993</v>
      </c>
      <c r="AC451" s="17"/>
      <c r="AD451" s="15">
        <f t="shared" si="222"/>
        <v>7.2</v>
      </c>
      <c r="AE451" s="10" t="s">
        <v>94</v>
      </c>
    </row>
    <row r="452" spans="1:31" s="38" customFormat="1" ht="15.75" customHeight="1">
      <c r="A452" s="6" t="s">
        <v>86</v>
      </c>
      <c r="B452" s="10" t="str">
        <f>VLOOKUP(A452,[1]Sheet1!$A:$B,2,0)</f>
        <v>MODI</v>
      </c>
      <c r="C452" s="20" t="s">
        <v>95</v>
      </c>
      <c r="D452" s="262">
        <v>310493196000</v>
      </c>
      <c r="E452" s="6" t="s">
        <v>74</v>
      </c>
      <c r="F452" s="10" t="s">
        <v>75</v>
      </c>
      <c r="G452" s="39" t="s">
        <v>76</v>
      </c>
      <c r="H452" s="40">
        <v>2024</v>
      </c>
      <c r="I452" s="334">
        <v>10</v>
      </c>
      <c r="J452" s="338">
        <v>45608</v>
      </c>
      <c r="K452" s="240"/>
      <c r="L452" s="400">
        <v>4.1200000000000001E-2</v>
      </c>
      <c r="M452" s="400">
        <v>5.2658333333333335E-2</v>
      </c>
      <c r="N452" s="405">
        <v>1.15E-2</v>
      </c>
      <c r="O452" s="371">
        <f t="shared" si="186"/>
        <v>0</v>
      </c>
      <c r="P452" s="370">
        <v>1</v>
      </c>
      <c r="Q452" s="370">
        <f t="shared" si="185"/>
        <v>4.1200000000000001E-2</v>
      </c>
      <c r="R452" s="23">
        <v>14544</v>
      </c>
      <c r="S452" s="15">
        <f>S369+R452</f>
        <v>35461006</v>
      </c>
      <c r="T452" s="382">
        <v>1650000</v>
      </c>
      <c r="U452" s="382">
        <f t="shared" si="224"/>
        <v>1242198.4309999999</v>
      </c>
      <c r="V452" s="35" t="s">
        <v>92</v>
      </c>
      <c r="W452" s="22" t="s">
        <v>78</v>
      </c>
      <c r="X452" s="27">
        <v>0.47000000000000003</v>
      </c>
      <c r="Y452" s="27" t="s">
        <v>93</v>
      </c>
      <c r="Z452" s="27"/>
      <c r="AA452" s="16"/>
      <c r="AB452" s="393">
        <f t="shared" si="221"/>
        <v>765.86279999999999</v>
      </c>
      <c r="AC452" s="17"/>
      <c r="AD452" s="15">
        <f t="shared" si="222"/>
        <v>6.83568</v>
      </c>
      <c r="AE452" s="10"/>
    </row>
    <row r="453" spans="1:31" s="38" customFormat="1" ht="15.75" customHeight="1">
      <c r="A453" s="6" t="s">
        <v>130</v>
      </c>
      <c r="B453" s="10" t="str">
        <f>VLOOKUP(A453,[1]Sheet1!$A:$B,2,0)</f>
        <v>MODI</v>
      </c>
      <c r="C453" s="32" t="s">
        <v>100</v>
      </c>
      <c r="D453" s="31">
        <v>130040670023444</v>
      </c>
      <c r="E453" s="6" t="s">
        <v>74</v>
      </c>
      <c r="F453" s="10" t="s">
        <v>75</v>
      </c>
      <c r="G453" s="39" t="s">
        <v>76</v>
      </c>
      <c r="H453" s="40">
        <v>2024</v>
      </c>
      <c r="I453" s="334">
        <v>10</v>
      </c>
      <c r="J453" s="338">
        <v>45608</v>
      </c>
      <c r="K453" s="240"/>
      <c r="L453" s="400">
        <v>0.7006</v>
      </c>
      <c r="M453" s="400">
        <v>0.7419</v>
      </c>
      <c r="N453" s="405">
        <v>4.1300000000000003E-2</v>
      </c>
      <c r="O453" s="371">
        <f t="shared" si="186"/>
        <v>0</v>
      </c>
      <c r="P453" s="370">
        <v>1</v>
      </c>
      <c r="Q453" s="370">
        <f t="shared" si="185"/>
        <v>0.7006</v>
      </c>
      <c r="R453" s="24">
        <v>416634</v>
      </c>
      <c r="S453" s="15">
        <f>S390+R453</f>
        <v>10281301</v>
      </c>
      <c r="T453" s="382">
        <v>1980000</v>
      </c>
      <c r="U453" s="382">
        <f t="shared" si="224"/>
        <v>1555382.2686999999</v>
      </c>
      <c r="V453" s="6" t="s">
        <v>88</v>
      </c>
      <c r="W453" s="22" t="s">
        <v>78</v>
      </c>
      <c r="X453" s="27">
        <v>10.1</v>
      </c>
      <c r="Y453" s="27" t="s">
        <v>79</v>
      </c>
      <c r="Z453" s="27"/>
      <c r="AA453" s="16"/>
      <c r="AB453" s="393">
        <f t="shared" si="221"/>
        <v>309100.76459999999</v>
      </c>
      <c r="AC453" s="17"/>
      <c r="AD453" s="15">
        <f t="shared" si="222"/>
        <v>4208.0033999999996</v>
      </c>
      <c r="AE453" s="10"/>
    </row>
    <row r="454" spans="1:31" s="38" customFormat="1" ht="15.75" customHeight="1">
      <c r="A454" s="6" t="s">
        <v>130</v>
      </c>
      <c r="B454" s="10" t="str">
        <f>VLOOKUP(A454,[1]Sheet1!$A:$B,2,0)</f>
        <v>MODI</v>
      </c>
      <c r="C454" s="32" t="s">
        <v>114</v>
      </c>
      <c r="D454" s="31">
        <v>130040670023440</v>
      </c>
      <c r="E454" s="6" t="s">
        <v>74</v>
      </c>
      <c r="F454" s="10" t="s">
        <v>134</v>
      </c>
      <c r="G454" s="39" t="s">
        <v>76</v>
      </c>
      <c r="H454" s="40">
        <v>2024</v>
      </c>
      <c r="I454" s="334">
        <v>10</v>
      </c>
      <c r="J454" s="338">
        <v>45608</v>
      </c>
      <c r="K454" s="240"/>
      <c r="L454" s="400">
        <v>0.12970000000000001</v>
      </c>
      <c r="M454" s="400">
        <v>0.15260000000000001</v>
      </c>
      <c r="N454" s="405">
        <v>2.29E-2</v>
      </c>
      <c r="O454" s="371">
        <f t="shared" si="186"/>
        <v>0</v>
      </c>
      <c r="P454" s="370">
        <v>1</v>
      </c>
      <c r="Q454" s="370">
        <f t="shared" si="185"/>
        <v>0.12970000000000001</v>
      </c>
      <c r="R454" s="24">
        <v>1037649</v>
      </c>
      <c r="S454" s="15">
        <f t="shared" ref="S454:S459" si="225">R454+S391</f>
        <v>11755523</v>
      </c>
      <c r="T454" s="382">
        <v>1100000</v>
      </c>
      <c r="U454" s="382">
        <f t="shared" si="224"/>
        <v>830798.5233</v>
      </c>
      <c r="V454" s="6" t="s">
        <v>115</v>
      </c>
      <c r="W454" s="22" t="s">
        <v>78</v>
      </c>
      <c r="X454" s="27">
        <v>2.4</v>
      </c>
      <c r="Y454" s="27" t="s">
        <v>93</v>
      </c>
      <c r="Z454" s="27"/>
      <c r="AA454" s="16"/>
      <c r="AB454" s="393">
        <f t="shared" si="221"/>
        <v>158345.23740000001</v>
      </c>
      <c r="AC454" s="17"/>
      <c r="AD454" s="15">
        <f t="shared" si="222"/>
        <v>2490.3576000000003</v>
      </c>
      <c r="AE454" s="10"/>
    </row>
    <row r="455" spans="1:31" s="38" customFormat="1" ht="15.75" customHeight="1">
      <c r="A455" s="6" t="s">
        <v>130</v>
      </c>
      <c r="B455" s="10" t="str">
        <f>VLOOKUP(A455,[1]Sheet1!$A:$B,2,0)</f>
        <v>MODI</v>
      </c>
      <c r="C455" s="32" t="s">
        <v>111</v>
      </c>
      <c r="D455" s="31">
        <v>130040670023442</v>
      </c>
      <c r="E455" s="6" t="s">
        <v>74</v>
      </c>
      <c r="F455" s="10" t="s">
        <v>134</v>
      </c>
      <c r="G455" s="39" t="s">
        <v>76</v>
      </c>
      <c r="H455" s="40">
        <v>2024</v>
      </c>
      <c r="I455" s="334">
        <v>10</v>
      </c>
      <c r="J455" s="338">
        <v>45608</v>
      </c>
      <c r="K455" s="240"/>
      <c r="L455" s="400">
        <v>0.1135</v>
      </c>
      <c r="M455" s="400">
        <v>0.1343</v>
      </c>
      <c r="N455" s="405">
        <v>2.0799999999999999E-2</v>
      </c>
      <c r="O455" s="371">
        <f t="shared" si="186"/>
        <v>0</v>
      </c>
      <c r="P455" s="370">
        <v>1</v>
      </c>
      <c r="Q455" s="370">
        <f t="shared" si="185"/>
        <v>0.1135</v>
      </c>
      <c r="R455" s="24">
        <v>1357459</v>
      </c>
      <c r="S455" s="15">
        <f t="shared" si="225"/>
        <v>11800057</v>
      </c>
      <c r="T455" s="382">
        <v>999000</v>
      </c>
      <c r="U455" s="382">
        <f t="shared" si="224"/>
        <v>753558.81440000003</v>
      </c>
      <c r="V455" s="6" t="s">
        <v>115</v>
      </c>
      <c r="W455" s="22" t="s">
        <v>78</v>
      </c>
      <c r="X455" s="27">
        <v>1.8</v>
      </c>
      <c r="Y455" s="27" t="s">
        <v>93</v>
      </c>
      <c r="Z455" s="27"/>
      <c r="AA455" s="16"/>
      <c r="AB455" s="393">
        <f t="shared" si="221"/>
        <v>182306.74369999999</v>
      </c>
      <c r="AC455" s="17"/>
      <c r="AD455" s="15">
        <f t="shared" si="222"/>
        <v>2443.4262000000003</v>
      </c>
      <c r="AE455" s="10"/>
    </row>
    <row r="456" spans="1:31" s="38" customFormat="1" ht="15.75" customHeight="1">
      <c r="A456" s="6" t="s">
        <v>130</v>
      </c>
      <c r="B456" s="10" t="str">
        <f>VLOOKUP(A456,[1]Sheet1!$A:$B,2,0)</f>
        <v>MODI</v>
      </c>
      <c r="C456" s="32" t="s">
        <v>108</v>
      </c>
      <c r="D456" s="31">
        <v>130040670023448</v>
      </c>
      <c r="E456" s="6" t="s">
        <v>74</v>
      </c>
      <c r="F456" s="10" t="s">
        <v>131</v>
      </c>
      <c r="G456" s="39" t="s">
        <v>76</v>
      </c>
      <c r="H456" s="40">
        <v>2024</v>
      </c>
      <c r="I456" s="334">
        <v>10</v>
      </c>
      <c r="J456" s="338">
        <v>45608</v>
      </c>
      <c r="K456" s="240"/>
      <c r="L456" s="400">
        <v>0.1056</v>
      </c>
      <c r="M456" s="400">
        <v>0.11840000000000001</v>
      </c>
      <c r="N456" s="405">
        <v>1.2800000000000001E-2</v>
      </c>
      <c r="O456" s="371">
        <f t="shared" si="186"/>
        <v>0</v>
      </c>
      <c r="P456" s="370">
        <v>1</v>
      </c>
      <c r="Q456" s="370">
        <f t="shared" si="185"/>
        <v>0.1056</v>
      </c>
      <c r="R456" s="341">
        <v>795492</v>
      </c>
      <c r="S456" s="15">
        <f t="shared" si="225"/>
        <v>9791692</v>
      </c>
      <c r="T456" s="382">
        <v>615000</v>
      </c>
      <c r="U456" s="382">
        <f t="shared" si="224"/>
        <v>489666.34239999996</v>
      </c>
      <c r="V456" s="6" t="s">
        <v>88</v>
      </c>
      <c r="W456" s="22" t="s">
        <v>78</v>
      </c>
      <c r="X456" s="27">
        <v>1.4</v>
      </c>
      <c r="Y456" s="27" t="s">
        <v>79</v>
      </c>
      <c r="Z456" s="27"/>
      <c r="AA456" s="16"/>
      <c r="AB456" s="393">
        <f t="shared" si="221"/>
        <v>94186.252800000002</v>
      </c>
      <c r="AC456" s="17"/>
      <c r="AD456" s="15">
        <f t="shared" si="222"/>
        <v>1113.6887999999999</v>
      </c>
      <c r="AE456" s="10"/>
    </row>
    <row r="457" spans="1:31" s="38" customFormat="1" ht="15.75" customHeight="1">
      <c r="A457" s="6" t="s">
        <v>130</v>
      </c>
      <c r="B457" s="10" t="str">
        <f>VLOOKUP(A457,[1]Sheet1!$A:$B,2,0)</f>
        <v>MODI</v>
      </c>
      <c r="C457" s="32" t="s">
        <v>104</v>
      </c>
      <c r="D457" s="31">
        <v>130040670023445</v>
      </c>
      <c r="E457" s="6" t="s">
        <v>74</v>
      </c>
      <c r="F457" s="10" t="s">
        <v>134</v>
      </c>
      <c r="G457" s="39" t="s">
        <v>76</v>
      </c>
      <c r="H457" s="40">
        <v>2024</v>
      </c>
      <c r="I457" s="334">
        <v>10</v>
      </c>
      <c r="J457" s="338">
        <v>45608</v>
      </c>
      <c r="K457" s="240"/>
      <c r="L457" s="400">
        <v>9.5299999999999996E-2</v>
      </c>
      <c r="M457" s="400">
        <v>0.1072</v>
      </c>
      <c r="N457" s="405">
        <v>1.1900000000000001E-2</v>
      </c>
      <c r="O457" s="371">
        <f t="shared" si="186"/>
        <v>0</v>
      </c>
      <c r="P457" s="370">
        <v>1</v>
      </c>
      <c r="Q457" s="370">
        <f t="shared" si="185"/>
        <v>9.5299999999999996E-2</v>
      </c>
      <c r="R457" s="341">
        <v>710810</v>
      </c>
      <c r="S457" s="15">
        <f t="shared" si="225"/>
        <v>10199610</v>
      </c>
      <c r="T457" s="382">
        <v>570000</v>
      </c>
      <c r="U457" s="382">
        <f t="shared" si="224"/>
        <v>448624.641</v>
      </c>
      <c r="V457" s="6" t="s">
        <v>88</v>
      </c>
      <c r="W457" s="22" t="s">
        <v>78</v>
      </c>
      <c r="X457" s="27">
        <v>1.2</v>
      </c>
      <c r="Y457" s="27" t="s">
        <v>79</v>
      </c>
      <c r="Z457" s="27"/>
      <c r="AA457" s="16"/>
      <c r="AB457" s="393">
        <f t="shared" si="221"/>
        <v>76198.832000000009</v>
      </c>
      <c r="AC457" s="17"/>
      <c r="AD457" s="15">
        <f t="shared" si="222"/>
        <v>852.97199999999998</v>
      </c>
      <c r="AE457" s="10"/>
    </row>
    <row r="458" spans="1:31" s="38" customFormat="1" ht="15.75" customHeight="1">
      <c r="A458" s="6" t="s">
        <v>130</v>
      </c>
      <c r="B458" s="10" t="str">
        <f>VLOOKUP(A458,[1]Sheet1!$A:$B,2,0)</f>
        <v>MODI</v>
      </c>
      <c r="C458" s="32" t="s">
        <v>133</v>
      </c>
      <c r="D458" s="31">
        <v>130040670023443</v>
      </c>
      <c r="E458" s="6" t="s">
        <v>74</v>
      </c>
      <c r="F458" s="10" t="s">
        <v>75</v>
      </c>
      <c r="G458" s="39" t="s">
        <v>76</v>
      </c>
      <c r="H458" s="40">
        <v>2024</v>
      </c>
      <c r="I458" s="334">
        <v>10</v>
      </c>
      <c r="J458" s="338">
        <v>45608</v>
      </c>
      <c r="K458" s="240"/>
      <c r="L458" s="400">
        <v>5.2299999999999999E-2</v>
      </c>
      <c r="M458" s="400">
        <v>5.8900000000000001E-2</v>
      </c>
      <c r="N458" s="405">
        <v>6.6E-3</v>
      </c>
      <c r="O458" s="371">
        <f t="shared" si="186"/>
        <v>0</v>
      </c>
      <c r="P458" s="370">
        <v>1</v>
      </c>
      <c r="Q458" s="370">
        <f t="shared" ref="Q458:Q478" si="226">P458*L458</f>
        <v>5.2299999999999999E-2</v>
      </c>
      <c r="R458" s="24">
        <v>136897</v>
      </c>
      <c r="S458" s="15">
        <f t="shared" si="225"/>
        <v>10082937</v>
      </c>
      <c r="T458" s="382">
        <v>315000</v>
      </c>
      <c r="U458" s="382">
        <f t="shared" si="224"/>
        <v>248452.6158</v>
      </c>
      <c r="V458" s="6" t="s">
        <v>101</v>
      </c>
      <c r="W458" s="22" t="s">
        <v>78</v>
      </c>
      <c r="X458" s="27">
        <v>1.06</v>
      </c>
      <c r="Y458" s="6" t="s">
        <v>103</v>
      </c>
      <c r="Z458" s="6"/>
      <c r="AA458" s="16"/>
      <c r="AB458" s="393">
        <f t="shared" si="221"/>
        <v>8063.2332999999999</v>
      </c>
      <c r="AC458" s="17"/>
      <c r="AD458" s="15">
        <f t="shared" si="222"/>
        <v>145.11082000000002</v>
      </c>
      <c r="AE458" s="10"/>
    </row>
    <row r="459" spans="1:31" s="38" customFormat="1" ht="15.75" customHeight="1">
      <c r="A459" s="6" t="s">
        <v>130</v>
      </c>
      <c r="B459" s="10" t="str">
        <f>VLOOKUP(A459,[1]Sheet1!$A:$B,2,0)</f>
        <v>MODI</v>
      </c>
      <c r="C459" s="32" t="s">
        <v>132</v>
      </c>
      <c r="D459" s="31">
        <v>130040670024534</v>
      </c>
      <c r="E459" s="6" t="s">
        <v>74</v>
      </c>
      <c r="F459" s="10" t="s">
        <v>134</v>
      </c>
      <c r="G459" s="39" t="s">
        <v>76</v>
      </c>
      <c r="H459" s="40">
        <v>2024</v>
      </c>
      <c r="I459" s="334">
        <v>10</v>
      </c>
      <c r="J459" s="338">
        <v>45608</v>
      </c>
      <c r="K459" s="240"/>
      <c r="L459" s="400">
        <v>3.4099999999999998E-2</v>
      </c>
      <c r="M459" s="400">
        <v>4.1300000000000003E-2</v>
      </c>
      <c r="N459" s="405">
        <v>7.1999999999999998E-3</v>
      </c>
      <c r="O459" s="371">
        <f t="shared" si="186"/>
        <v>0</v>
      </c>
      <c r="P459" s="370">
        <v>1</v>
      </c>
      <c r="Q459" s="370">
        <f t="shared" si="226"/>
        <v>3.4099999999999998E-2</v>
      </c>
      <c r="R459" s="24">
        <v>1315174</v>
      </c>
      <c r="S459" s="15">
        <f t="shared" si="225"/>
        <v>11822517</v>
      </c>
      <c r="T459" s="382">
        <v>345000</v>
      </c>
      <c r="U459" s="382">
        <f t="shared" si="224"/>
        <v>259877.87760000001</v>
      </c>
      <c r="V459" s="6" t="s">
        <v>117</v>
      </c>
      <c r="W459" s="22" t="s">
        <v>78</v>
      </c>
      <c r="X459" s="27">
        <v>0.27</v>
      </c>
      <c r="Y459" s="27" t="s">
        <v>118</v>
      </c>
      <c r="Z459" s="27"/>
      <c r="AA459" s="16"/>
      <c r="AB459" s="393">
        <f t="shared" si="221"/>
        <v>54316.686200000004</v>
      </c>
      <c r="AC459" s="17"/>
      <c r="AD459" s="15">
        <f t="shared" si="222"/>
        <v>355.09698000000003</v>
      </c>
      <c r="AE459" s="10"/>
    </row>
    <row r="460" spans="1:31" s="38" customFormat="1" ht="15.75" customHeight="1">
      <c r="A460" s="6" t="s">
        <v>106</v>
      </c>
      <c r="B460" s="10" t="str">
        <f>VLOOKUP(A460,[1]Sheet1!$A:$B,2,0)</f>
        <v>MODI</v>
      </c>
      <c r="C460" s="32" t="s">
        <v>100</v>
      </c>
      <c r="D460" s="31">
        <v>130040670018928</v>
      </c>
      <c r="E460" s="6" t="s">
        <v>74</v>
      </c>
      <c r="F460" s="10" t="s">
        <v>107</v>
      </c>
      <c r="G460" s="39" t="s">
        <v>76</v>
      </c>
      <c r="H460" s="40">
        <v>2024</v>
      </c>
      <c r="I460" s="334">
        <v>10</v>
      </c>
      <c r="J460" s="338">
        <v>45608</v>
      </c>
      <c r="K460" s="240"/>
      <c r="L460" s="400">
        <v>0.31</v>
      </c>
      <c r="M460" s="400">
        <v>0.34499999999999997</v>
      </c>
      <c r="N460" s="405">
        <v>3.5000000000000003E-2</v>
      </c>
      <c r="O460" s="371">
        <f t="shared" ref="O460:O478" si="227">K460*N460</f>
        <v>0</v>
      </c>
      <c r="P460" s="370">
        <v>1</v>
      </c>
      <c r="Q460" s="370">
        <f t="shared" si="226"/>
        <v>0.31</v>
      </c>
      <c r="R460" s="23">
        <v>1640829</v>
      </c>
      <c r="S460" s="15">
        <f>S401+R460</f>
        <v>16440137</v>
      </c>
      <c r="T460" s="382">
        <v>4200000</v>
      </c>
      <c r="U460" s="382">
        <f t="shared" si="224"/>
        <v>3624595.2050000001</v>
      </c>
      <c r="V460" s="6" t="s">
        <v>88</v>
      </c>
      <c r="W460" s="22" t="s">
        <v>78</v>
      </c>
      <c r="X460" s="27">
        <v>6.2</v>
      </c>
      <c r="Y460" s="27" t="s">
        <v>79</v>
      </c>
      <c r="Z460" s="27"/>
      <c r="AA460" s="16"/>
      <c r="AB460" s="393">
        <f t="shared" si="221"/>
        <v>566086.005</v>
      </c>
      <c r="AC460" s="17"/>
      <c r="AD460" s="15">
        <f t="shared" si="222"/>
        <v>10173.139800000001</v>
      </c>
      <c r="AE460" s="10"/>
    </row>
    <row r="461" spans="1:31" s="38" customFormat="1" ht="15.75" customHeight="1">
      <c r="A461" s="6" t="s">
        <v>106</v>
      </c>
      <c r="B461" s="10" t="str">
        <f>VLOOKUP(A461,[1]Sheet1!$A:$B,2,0)</f>
        <v>MODI</v>
      </c>
      <c r="C461" s="32" t="s">
        <v>111</v>
      </c>
      <c r="D461" s="31">
        <v>130040670018919</v>
      </c>
      <c r="E461" s="6" t="s">
        <v>74</v>
      </c>
      <c r="F461" s="10" t="s">
        <v>75</v>
      </c>
      <c r="G461" s="39" t="s">
        <v>76</v>
      </c>
      <c r="H461" s="40">
        <v>2024</v>
      </c>
      <c r="I461" s="334">
        <v>10</v>
      </c>
      <c r="J461" s="338">
        <v>45608</v>
      </c>
      <c r="K461" s="240"/>
      <c r="L461" s="400">
        <v>0.128</v>
      </c>
      <c r="M461" s="400">
        <v>0.14570833333333333</v>
      </c>
      <c r="N461" s="405">
        <v>1.77E-2</v>
      </c>
      <c r="O461" s="371">
        <f t="shared" si="227"/>
        <v>0</v>
      </c>
      <c r="P461" s="370">
        <v>1</v>
      </c>
      <c r="Q461" s="370">
        <f t="shared" si="226"/>
        <v>0.128</v>
      </c>
      <c r="R461" s="23">
        <v>723519</v>
      </c>
      <c r="S461" s="15">
        <f>S402+R461</f>
        <v>9298567</v>
      </c>
      <c r="T461" s="382">
        <v>1700000</v>
      </c>
      <c r="U461" s="382">
        <f t="shared" si="224"/>
        <v>1535415.3640999999</v>
      </c>
      <c r="V461" s="6" t="s">
        <v>88</v>
      </c>
      <c r="W461" s="22" t="s">
        <v>78</v>
      </c>
      <c r="X461" s="27">
        <v>3.55</v>
      </c>
      <c r="Y461" s="27" t="s">
        <v>79</v>
      </c>
      <c r="Z461" s="27"/>
      <c r="AA461" s="16"/>
      <c r="AB461" s="393">
        <f t="shared" si="221"/>
        <v>105422.747625</v>
      </c>
      <c r="AC461" s="17"/>
      <c r="AD461" s="15">
        <f t="shared" si="222"/>
        <v>2568.4924499999997</v>
      </c>
      <c r="AE461" s="10"/>
    </row>
    <row r="462" spans="1:31" s="38" customFormat="1" ht="15.75" customHeight="1">
      <c r="A462" s="6" t="s">
        <v>106</v>
      </c>
      <c r="B462" s="10" t="str">
        <f>VLOOKUP(A462,[1]Sheet1!$A:$B,2,0)</f>
        <v>MODI</v>
      </c>
      <c r="C462" s="32" t="s">
        <v>109</v>
      </c>
      <c r="D462" s="31">
        <v>130040670027765</v>
      </c>
      <c r="E462" s="6" t="s">
        <v>74</v>
      </c>
      <c r="F462" s="10" t="s">
        <v>110</v>
      </c>
      <c r="G462" s="39" t="s">
        <v>76</v>
      </c>
      <c r="H462" s="40">
        <v>2024</v>
      </c>
      <c r="I462" s="334">
        <v>10</v>
      </c>
      <c r="J462" s="338">
        <v>45608</v>
      </c>
      <c r="K462" s="240"/>
      <c r="L462" s="400">
        <v>3.2000000000000001E-2</v>
      </c>
      <c r="M462" s="400">
        <v>3.991666666666667E-2</v>
      </c>
      <c r="N462" s="405">
        <v>7.9000000000000008E-3</v>
      </c>
      <c r="O462" s="371">
        <f t="shared" si="227"/>
        <v>0</v>
      </c>
      <c r="P462" s="370">
        <v>1</v>
      </c>
      <c r="Q462" s="370">
        <f t="shared" si="226"/>
        <v>3.2000000000000001E-2</v>
      </c>
      <c r="R462" s="23">
        <v>8435924</v>
      </c>
      <c r="S462" s="15">
        <f>R462+S403</f>
        <v>49171533</v>
      </c>
      <c r="T462" s="382">
        <v>1520000</v>
      </c>
      <c r="U462" s="382">
        <f t="shared" si="224"/>
        <v>1131544.8892999999</v>
      </c>
      <c r="V462" s="6" t="s">
        <v>88</v>
      </c>
      <c r="W462" s="22" t="s">
        <v>78</v>
      </c>
      <c r="X462" s="27">
        <v>0.56999999999999995</v>
      </c>
      <c r="Y462" s="27" t="s">
        <v>79</v>
      </c>
      <c r="Z462" s="27"/>
      <c r="AA462" s="16"/>
      <c r="AB462" s="393">
        <f t="shared" si="221"/>
        <v>336733.96633333334</v>
      </c>
      <c r="AC462" s="17"/>
      <c r="AD462" s="15">
        <f t="shared" si="222"/>
        <v>4808.4766799999998</v>
      </c>
      <c r="AE462" s="10"/>
    </row>
    <row r="463" spans="1:31" s="38" customFormat="1" ht="15.75" customHeight="1">
      <c r="A463" s="6" t="s">
        <v>106</v>
      </c>
      <c r="B463" s="10" t="str">
        <f>VLOOKUP(A463,[1]Sheet1!$A:$B,2,0)</f>
        <v>MODI</v>
      </c>
      <c r="C463" s="32" t="s">
        <v>104</v>
      </c>
      <c r="D463" s="31">
        <v>130040670018929</v>
      </c>
      <c r="E463" s="6" t="s">
        <v>74</v>
      </c>
      <c r="F463" s="10" t="s">
        <v>107</v>
      </c>
      <c r="G463" s="39" t="s">
        <v>76</v>
      </c>
      <c r="H463" s="40">
        <v>2024</v>
      </c>
      <c r="I463" s="334">
        <v>10</v>
      </c>
      <c r="J463" s="338">
        <v>45608</v>
      </c>
      <c r="K463" s="240"/>
      <c r="L463" s="400">
        <v>5.3999999999999999E-2</v>
      </c>
      <c r="M463" s="400">
        <v>6.3395833333333332E-2</v>
      </c>
      <c r="N463" s="405">
        <v>9.4000000000000004E-3</v>
      </c>
      <c r="O463" s="371">
        <f t="shared" si="227"/>
        <v>0</v>
      </c>
      <c r="P463" s="370">
        <v>1</v>
      </c>
      <c r="Q463" s="370">
        <f t="shared" si="226"/>
        <v>5.3999999999999999E-2</v>
      </c>
      <c r="R463" s="23">
        <v>1404000</v>
      </c>
      <c r="S463" s="15">
        <f>S404+R463</f>
        <v>16202135</v>
      </c>
      <c r="T463" s="382">
        <v>902000</v>
      </c>
      <c r="U463" s="382">
        <f t="shared" si="224"/>
        <v>749699.93099999998</v>
      </c>
      <c r="V463" s="6" t="s">
        <v>88</v>
      </c>
      <c r="W463" s="22" t="s">
        <v>78</v>
      </c>
      <c r="X463" s="27">
        <v>0.65</v>
      </c>
      <c r="Y463" s="27" t="s">
        <v>79</v>
      </c>
      <c r="Z463" s="27"/>
      <c r="AA463" s="16"/>
      <c r="AB463" s="393">
        <f t="shared" si="221"/>
        <v>89007.75</v>
      </c>
      <c r="AC463" s="17"/>
      <c r="AD463" s="15">
        <f t="shared" si="222"/>
        <v>912.6</v>
      </c>
      <c r="AE463" s="10"/>
    </row>
    <row r="464" spans="1:31" s="38" customFormat="1" ht="15.75" customHeight="1">
      <c r="A464" s="6" t="s">
        <v>106</v>
      </c>
      <c r="B464" s="10" t="str">
        <f>VLOOKUP(A464,[1]Sheet1!$A:$B,2,0)</f>
        <v>MODI</v>
      </c>
      <c r="C464" s="32" t="s">
        <v>108</v>
      </c>
      <c r="D464" s="31">
        <v>130040670018930</v>
      </c>
      <c r="E464" s="6" t="s">
        <v>74</v>
      </c>
      <c r="F464" s="10" t="s">
        <v>107</v>
      </c>
      <c r="G464" s="39" t="s">
        <v>76</v>
      </c>
      <c r="H464" s="40">
        <v>2024</v>
      </c>
      <c r="I464" s="334">
        <v>10</v>
      </c>
      <c r="J464" s="338">
        <v>45608</v>
      </c>
      <c r="K464" s="240"/>
      <c r="L464" s="400">
        <v>0.08</v>
      </c>
      <c r="M464" s="400">
        <v>9.0708333333333335E-2</v>
      </c>
      <c r="N464" s="405">
        <v>1.0699999999999999E-2</v>
      </c>
      <c r="O464" s="371">
        <f t="shared" si="227"/>
        <v>0</v>
      </c>
      <c r="P464" s="370">
        <v>1</v>
      </c>
      <c r="Q464" s="370">
        <f t="shared" si="226"/>
        <v>0.08</v>
      </c>
      <c r="R464" s="23">
        <v>1395600</v>
      </c>
      <c r="S464" s="15">
        <f>S405+R464</f>
        <v>16395000</v>
      </c>
      <c r="T464" s="382">
        <v>1028000</v>
      </c>
      <c r="U464" s="382">
        <f t="shared" si="224"/>
        <v>852573.5</v>
      </c>
      <c r="V464" s="6" t="s">
        <v>88</v>
      </c>
      <c r="W464" s="22" t="s">
        <v>78</v>
      </c>
      <c r="X464" s="27">
        <v>1.2</v>
      </c>
      <c r="Y464" s="27" t="s">
        <v>79</v>
      </c>
      <c r="Z464" s="27"/>
      <c r="AA464" s="16"/>
      <c r="AB464" s="393">
        <f t="shared" si="221"/>
        <v>126592.55</v>
      </c>
      <c r="AC464" s="17"/>
      <c r="AD464" s="15">
        <f t="shared" si="222"/>
        <v>1674.72</v>
      </c>
      <c r="AE464" s="10"/>
    </row>
    <row r="465" spans="1:32" s="38" customFormat="1" ht="15.75" customHeight="1">
      <c r="A465" s="6" t="s">
        <v>106</v>
      </c>
      <c r="B465" s="10" t="str">
        <f>VLOOKUP(A465,[1]Sheet1!$A:$B,2,0)</f>
        <v>MODI</v>
      </c>
      <c r="C465" s="32" t="s">
        <v>112</v>
      </c>
      <c r="D465" s="31">
        <v>130040670018925</v>
      </c>
      <c r="E465" s="6" t="s">
        <v>74</v>
      </c>
      <c r="F465" s="10" t="s">
        <v>107</v>
      </c>
      <c r="G465" s="39" t="s">
        <v>76</v>
      </c>
      <c r="H465" s="40">
        <v>2024</v>
      </c>
      <c r="I465" s="334">
        <v>10</v>
      </c>
      <c r="J465" s="338">
        <v>45608</v>
      </c>
      <c r="K465" s="240"/>
      <c r="L465" s="400">
        <v>3.6999999999999998E-2</v>
      </c>
      <c r="M465" s="400">
        <v>4.2354166666666665E-2</v>
      </c>
      <c r="N465" s="405">
        <v>5.4000000000000003E-3</v>
      </c>
      <c r="O465" s="371">
        <f t="shared" si="227"/>
        <v>0</v>
      </c>
      <c r="P465" s="370">
        <v>1</v>
      </c>
      <c r="Q465" s="370">
        <f t="shared" si="226"/>
        <v>3.6999999999999998E-2</v>
      </c>
      <c r="R465" s="23">
        <v>1404000</v>
      </c>
      <c r="S465" s="15">
        <f t="shared" ref="S465:S478" si="228">S376+R465</f>
        <v>16097740</v>
      </c>
      <c r="T465" s="382">
        <v>514000</v>
      </c>
      <c r="U465" s="382">
        <f t="shared" si="224"/>
        <v>427072.20400000003</v>
      </c>
      <c r="V465" s="6" t="s">
        <v>88</v>
      </c>
      <c r="W465" s="22" t="s">
        <v>78</v>
      </c>
      <c r="X465" s="27">
        <v>0.9</v>
      </c>
      <c r="Y465" s="27" t="s">
        <v>79</v>
      </c>
      <c r="Z465" s="27"/>
      <c r="AA465" s="16"/>
      <c r="AB465" s="393">
        <f t="shared" si="221"/>
        <v>59465.25</v>
      </c>
      <c r="AC465" s="17"/>
      <c r="AD465" s="15">
        <f t="shared" si="222"/>
        <v>1263.5999999999999</v>
      </c>
      <c r="AE465" s="10"/>
    </row>
    <row r="466" spans="1:32" s="38" customFormat="1" ht="15.75" customHeight="1">
      <c r="A466" s="6" t="s">
        <v>113</v>
      </c>
      <c r="B466" s="10" t="str">
        <f>VLOOKUP(A466,[1]Sheet1!$A:$B,2,0)</f>
        <v>MODI</v>
      </c>
      <c r="C466" s="32" t="s">
        <v>119</v>
      </c>
      <c r="D466" s="31">
        <v>130040670039455</v>
      </c>
      <c r="E466" s="6" t="s">
        <v>74</v>
      </c>
      <c r="F466" s="10" t="s">
        <v>120</v>
      </c>
      <c r="G466" s="39" t="s">
        <v>76</v>
      </c>
      <c r="H466" s="40">
        <v>2024</v>
      </c>
      <c r="I466" s="334">
        <v>10</v>
      </c>
      <c r="J466" s="338">
        <v>45608</v>
      </c>
      <c r="K466" s="240"/>
      <c r="L466" s="400">
        <v>6.5299999999999997E-2</v>
      </c>
      <c r="M466" s="400">
        <v>7.5899999999999995E-2</v>
      </c>
      <c r="N466" s="405">
        <v>1.06E-2</v>
      </c>
      <c r="O466" s="371">
        <f t="shared" si="227"/>
        <v>0</v>
      </c>
      <c r="P466" s="370">
        <v>1</v>
      </c>
      <c r="Q466" s="370">
        <f t="shared" si="226"/>
        <v>6.5299999999999997E-2</v>
      </c>
      <c r="R466" s="24">
        <v>2191304</v>
      </c>
      <c r="S466" s="15">
        <f>R466+S377</f>
        <v>19341076</v>
      </c>
      <c r="T466" s="382">
        <v>1020000</v>
      </c>
      <c r="U466" s="382">
        <f t="shared" si="224"/>
        <v>814984.59440000006</v>
      </c>
      <c r="V466" s="6" t="s">
        <v>115</v>
      </c>
      <c r="W466" s="22" t="s">
        <v>78</v>
      </c>
      <c r="X466" s="27">
        <v>1.33</v>
      </c>
      <c r="Y466" s="27" t="s">
        <v>93</v>
      </c>
      <c r="Z466" s="27"/>
      <c r="AA466" s="16"/>
      <c r="AB466" s="393">
        <f t="shared" si="221"/>
        <v>166319.9736</v>
      </c>
      <c r="AC466" s="17"/>
      <c r="AD466" s="15">
        <f t="shared" si="222"/>
        <v>2914.4343200000003</v>
      </c>
      <c r="AE466" s="10"/>
    </row>
    <row r="467" spans="1:32" s="38" customFormat="1" ht="15.75" customHeight="1">
      <c r="A467" s="6" t="s">
        <v>113</v>
      </c>
      <c r="B467" s="10" t="str">
        <f>VLOOKUP(A467,[1]Sheet1!$A:$B,2,0)</f>
        <v>MODI</v>
      </c>
      <c r="C467" s="32" t="s">
        <v>116</v>
      </c>
      <c r="D467" s="31">
        <v>130040670023906</v>
      </c>
      <c r="E467" s="6" t="s">
        <v>74</v>
      </c>
      <c r="F467" s="10" t="s">
        <v>75</v>
      </c>
      <c r="G467" s="39" t="s">
        <v>76</v>
      </c>
      <c r="H467" s="40">
        <v>2024</v>
      </c>
      <c r="I467" s="334">
        <v>10</v>
      </c>
      <c r="J467" s="338">
        <v>45608</v>
      </c>
      <c r="K467" s="240"/>
      <c r="L467" s="400">
        <v>3.9300000000000002E-2</v>
      </c>
      <c r="M467" s="400">
        <v>4.6699999999999998E-2</v>
      </c>
      <c r="N467" s="405">
        <v>7.4000000000000003E-3</v>
      </c>
      <c r="O467" s="371">
        <f t="shared" si="227"/>
        <v>0</v>
      </c>
      <c r="P467" s="370">
        <v>1</v>
      </c>
      <c r="Q467" s="370">
        <f t="shared" si="226"/>
        <v>3.9300000000000002E-2</v>
      </c>
      <c r="R467" s="24">
        <v>715500</v>
      </c>
      <c r="S467" s="15">
        <f t="shared" si="228"/>
        <v>6972000</v>
      </c>
      <c r="T467" s="382">
        <v>355000</v>
      </c>
      <c r="U467" s="382">
        <f t="shared" si="224"/>
        <v>303407.2</v>
      </c>
      <c r="V467" s="6" t="s">
        <v>117</v>
      </c>
      <c r="W467" s="22" t="s">
        <v>78</v>
      </c>
      <c r="X467" s="27">
        <v>0.36</v>
      </c>
      <c r="Y467" s="27" t="s">
        <v>118</v>
      </c>
      <c r="Z467" s="27"/>
      <c r="AA467" s="16"/>
      <c r="AB467" s="393">
        <f t="shared" si="221"/>
        <v>33413.85</v>
      </c>
      <c r="AC467" s="17"/>
      <c r="AD467" s="15">
        <f t="shared" si="222"/>
        <v>257.58</v>
      </c>
      <c r="AE467" s="10"/>
    </row>
    <row r="468" spans="1:32" s="38" customFormat="1" ht="15.75" customHeight="1">
      <c r="A468" s="6" t="s">
        <v>113</v>
      </c>
      <c r="B468" s="10" t="str">
        <f>VLOOKUP(A468,[1]Sheet1!$A:$B,2,0)</f>
        <v>MODI</v>
      </c>
      <c r="C468" s="32" t="s">
        <v>114</v>
      </c>
      <c r="D468" s="31">
        <v>130040670023899</v>
      </c>
      <c r="E468" s="6" t="s">
        <v>74</v>
      </c>
      <c r="F468" s="10" t="s">
        <v>75</v>
      </c>
      <c r="G468" s="39" t="s">
        <v>76</v>
      </c>
      <c r="H468" s="40">
        <v>2024</v>
      </c>
      <c r="I468" s="334">
        <v>10</v>
      </c>
      <c r="J468" s="338">
        <v>45608</v>
      </c>
      <c r="K468" s="240"/>
      <c r="L468" s="400">
        <v>0.12970000000000001</v>
      </c>
      <c r="M468" s="400">
        <v>0.15260000000000001</v>
      </c>
      <c r="N468" s="405">
        <v>2.29E-2</v>
      </c>
      <c r="O468" s="371">
        <f t="shared" si="227"/>
        <v>0</v>
      </c>
      <c r="P468" s="370">
        <v>1</v>
      </c>
      <c r="Q468" s="370">
        <f t="shared" si="226"/>
        <v>0.12970000000000001</v>
      </c>
      <c r="R468" s="23">
        <v>884009</v>
      </c>
      <c r="S468" s="15">
        <f t="shared" si="228"/>
        <v>7144199</v>
      </c>
      <c r="T468" s="382">
        <v>1100000</v>
      </c>
      <c r="U468" s="382">
        <f t="shared" si="224"/>
        <v>936397.84290000005</v>
      </c>
      <c r="V468" s="6" t="s">
        <v>115</v>
      </c>
      <c r="W468" s="22" t="s">
        <v>78</v>
      </c>
      <c r="X468" s="27">
        <v>2.7</v>
      </c>
      <c r="Y468" s="27" t="s">
        <v>93</v>
      </c>
      <c r="Z468" s="27"/>
      <c r="AA468" s="16"/>
      <c r="AB468" s="393">
        <f t="shared" si="221"/>
        <v>134899.77340000001</v>
      </c>
      <c r="AC468" s="17"/>
      <c r="AD468" s="15">
        <f t="shared" si="222"/>
        <v>2386.8243000000002</v>
      </c>
      <c r="AE468" s="10"/>
    </row>
    <row r="469" spans="1:32" s="38" customFormat="1" ht="15.75" customHeight="1">
      <c r="A469" s="6" t="s">
        <v>113</v>
      </c>
      <c r="B469" s="10" t="str">
        <f>VLOOKUP(A469,[1]Sheet1!$A:$B,2,0)</f>
        <v>MODI</v>
      </c>
      <c r="C469" s="32" t="s">
        <v>121</v>
      </c>
      <c r="D469" s="31">
        <v>130040670039442</v>
      </c>
      <c r="E469" s="6" t="s">
        <v>74</v>
      </c>
      <c r="F469" s="10" t="s">
        <v>120</v>
      </c>
      <c r="G469" s="39" t="s">
        <v>76</v>
      </c>
      <c r="H469" s="40">
        <v>2024</v>
      </c>
      <c r="I469" s="334">
        <v>10</v>
      </c>
      <c r="J469" s="338">
        <v>45608</v>
      </c>
      <c r="K469" s="240"/>
      <c r="L469" s="400">
        <v>6.6699999999999995E-2</v>
      </c>
      <c r="M469" s="400">
        <v>7.7299999999999994E-2</v>
      </c>
      <c r="N469" s="405">
        <v>1.06E-2</v>
      </c>
      <c r="O469" s="371">
        <f t="shared" si="227"/>
        <v>0</v>
      </c>
      <c r="P469" s="370">
        <v>1</v>
      </c>
      <c r="Q469" s="370">
        <f t="shared" si="226"/>
        <v>6.6699999999999995E-2</v>
      </c>
      <c r="R469" s="24">
        <v>2035263</v>
      </c>
      <c r="S469" s="15">
        <f t="shared" si="228"/>
        <v>19367965</v>
      </c>
      <c r="T469" s="382">
        <v>1020000</v>
      </c>
      <c r="U469" s="382">
        <f t="shared" si="224"/>
        <v>814699.571</v>
      </c>
      <c r="V469" s="6" t="s">
        <v>115</v>
      </c>
      <c r="W469" s="22" t="s">
        <v>78</v>
      </c>
      <c r="X469" s="27">
        <v>1.39</v>
      </c>
      <c r="Y469" s="27" t="s">
        <v>93</v>
      </c>
      <c r="Z469" s="27"/>
      <c r="AA469" s="16"/>
      <c r="AB469" s="393">
        <f t="shared" si="221"/>
        <v>157325.82989999998</v>
      </c>
      <c r="AC469" s="17"/>
      <c r="AD469" s="15">
        <f t="shared" si="222"/>
        <v>2829.01557</v>
      </c>
      <c r="AE469" s="10"/>
    </row>
    <row r="470" spans="1:32" s="38" customFormat="1" ht="15.75" customHeight="1">
      <c r="A470" s="6" t="s">
        <v>113</v>
      </c>
      <c r="B470" s="10" t="str">
        <f>VLOOKUP(A470,[1]Sheet1!$A:$B,2,0)</f>
        <v>MODI</v>
      </c>
      <c r="C470" s="32" t="s">
        <v>111</v>
      </c>
      <c r="D470" s="31">
        <v>130040670023900</v>
      </c>
      <c r="E470" s="6" t="s">
        <v>74</v>
      </c>
      <c r="F470" s="10" t="s">
        <v>75</v>
      </c>
      <c r="G470" s="39" t="s">
        <v>76</v>
      </c>
      <c r="H470" s="40">
        <v>2024</v>
      </c>
      <c r="I470" s="334">
        <v>10</v>
      </c>
      <c r="J470" s="338">
        <v>45608</v>
      </c>
      <c r="K470" s="240"/>
      <c r="L470" s="400">
        <v>0.1128</v>
      </c>
      <c r="M470" s="400">
        <v>0.1336</v>
      </c>
      <c r="N470" s="405">
        <v>2.0799999999999999E-2</v>
      </c>
      <c r="O470" s="371">
        <f t="shared" si="227"/>
        <v>0</v>
      </c>
      <c r="P470" s="370">
        <v>1</v>
      </c>
      <c r="Q470" s="370">
        <f t="shared" si="226"/>
        <v>0.1128</v>
      </c>
      <c r="R470" s="23">
        <v>884294</v>
      </c>
      <c r="S470" s="15">
        <f t="shared" si="228"/>
        <v>7158414</v>
      </c>
      <c r="T470" s="382">
        <v>999000</v>
      </c>
      <c r="U470" s="382">
        <f t="shared" si="224"/>
        <v>850104.98880000005</v>
      </c>
      <c r="V470" s="6" t="s">
        <v>115</v>
      </c>
      <c r="W470" s="22" t="s">
        <v>78</v>
      </c>
      <c r="X470" s="27">
        <v>1.5</v>
      </c>
      <c r="Y470" s="27" t="s">
        <v>93</v>
      </c>
      <c r="Z470" s="27"/>
      <c r="AA470" s="16"/>
      <c r="AB470" s="393">
        <f t="shared" si="221"/>
        <v>118141.67839999999</v>
      </c>
      <c r="AC470" s="17"/>
      <c r="AD470" s="15">
        <f t="shared" si="222"/>
        <v>1326.441</v>
      </c>
      <c r="AE470" s="10"/>
    </row>
    <row r="471" spans="1:32" s="38" customFormat="1" ht="15.75" customHeight="1">
      <c r="A471" s="6" t="s">
        <v>113</v>
      </c>
      <c r="B471" s="10" t="str">
        <f>VLOOKUP(A471,[1]Sheet1!$A:$B,2,0)</f>
        <v>MODI</v>
      </c>
      <c r="C471" s="32" t="s">
        <v>122</v>
      </c>
      <c r="D471" s="31">
        <v>130040670017669</v>
      </c>
      <c r="E471" s="6" t="s">
        <v>74</v>
      </c>
      <c r="F471" s="10" t="s">
        <v>123</v>
      </c>
      <c r="G471" s="39" t="s">
        <v>76</v>
      </c>
      <c r="H471" s="40">
        <v>2024</v>
      </c>
      <c r="I471" s="334">
        <v>10</v>
      </c>
      <c r="J471" s="338">
        <v>45608</v>
      </c>
      <c r="K471" s="240"/>
      <c r="L471" s="400">
        <v>6.1499999999999999E-2</v>
      </c>
      <c r="M471" s="400">
        <v>6.9400000000000003E-2</v>
      </c>
      <c r="N471" s="405">
        <v>7.9000000000000008E-3</v>
      </c>
      <c r="O471" s="371">
        <f t="shared" si="227"/>
        <v>0</v>
      </c>
      <c r="P471" s="370">
        <v>1</v>
      </c>
      <c r="Q471" s="370">
        <f t="shared" si="226"/>
        <v>6.1499999999999999E-2</v>
      </c>
      <c r="R471" s="24">
        <v>4532472</v>
      </c>
      <c r="S471" s="15">
        <f t="shared" si="228"/>
        <v>24985080</v>
      </c>
      <c r="T471" s="382">
        <v>760000</v>
      </c>
      <c r="U471" s="382">
        <f t="shared" si="224"/>
        <v>562617.86800000002</v>
      </c>
      <c r="V471" s="6" t="s">
        <v>115</v>
      </c>
      <c r="W471" s="22" t="s">
        <v>78</v>
      </c>
      <c r="X471" s="27">
        <v>1.1000000000000001</v>
      </c>
      <c r="Y471" s="27" t="s">
        <v>93</v>
      </c>
      <c r="Z471" s="27"/>
      <c r="AA471" s="16"/>
      <c r="AB471" s="393">
        <f t="shared" si="221"/>
        <v>314553.55680000002</v>
      </c>
      <c r="AC471" s="17"/>
      <c r="AD471" s="15">
        <f t="shared" si="222"/>
        <v>4985.7192000000005</v>
      </c>
      <c r="AE471" s="10"/>
    </row>
    <row r="472" spans="1:32" s="38" customFormat="1" ht="15.75" customHeight="1">
      <c r="A472" s="6" t="s">
        <v>124</v>
      </c>
      <c r="B472" s="10" t="str">
        <f>VLOOKUP(A472,[1]Sheet1!$A:$B,2,0)</f>
        <v>MODI</v>
      </c>
      <c r="C472" s="32" t="s">
        <v>100</v>
      </c>
      <c r="D472" s="31">
        <v>130040670021245</v>
      </c>
      <c r="E472" s="6" t="s">
        <v>74</v>
      </c>
      <c r="F472" s="10" t="s">
        <v>125</v>
      </c>
      <c r="G472" s="39" t="s">
        <v>76</v>
      </c>
      <c r="H472" s="40">
        <v>2024</v>
      </c>
      <c r="I472" s="334">
        <v>10</v>
      </c>
      <c r="J472" s="338">
        <v>45608</v>
      </c>
      <c r="K472" s="240"/>
      <c r="L472" s="400">
        <v>0.28100000000000003</v>
      </c>
      <c r="M472" s="400">
        <v>0.30070000000000002</v>
      </c>
      <c r="N472" s="405">
        <v>1.9699999999999999E-2</v>
      </c>
      <c r="O472" s="371">
        <f t="shared" si="227"/>
        <v>0</v>
      </c>
      <c r="P472" s="370">
        <v>1</v>
      </c>
      <c r="Q472" s="370">
        <f t="shared" si="226"/>
        <v>0.28100000000000003</v>
      </c>
      <c r="R472" s="24">
        <v>7359566</v>
      </c>
      <c r="S472" s="15">
        <f t="shared" si="228"/>
        <v>32498552</v>
      </c>
      <c r="T472" s="382">
        <v>3150000</v>
      </c>
      <c r="U472" s="382">
        <f t="shared" si="224"/>
        <v>2509778.5256000003</v>
      </c>
      <c r="V472" s="6" t="s">
        <v>88</v>
      </c>
      <c r="W472" s="22" t="s">
        <v>78</v>
      </c>
      <c r="X472" s="27">
        <v>4.5</v>
      </c>
      <c r="Y472" s="27" t="s">
        <v>79</v>
      </c>
      <c r="Z472" s="27"/>
      <c r="AA472" s="16"/>
      <c r="AB472" s="393">
        <f t="shared" si="221"/>
        <v>2213021.4961999999</v>
      </c>
      <c r="AC472" s="17"/>
      <c r="AD472" s="15">
        <f t="shared" si="222"/>
        <v>33118.046999999999</v>
      </c>
      <c r="AE472" s="10"/>
    </row>
    <row r="473" spans="1:32" s="38" customFormat="1" ht="15.75" customHeight="1">
      <c r="A473" s="6" t="s">
        <v>124</v>
      </c>
      <c r="B473" s="10" t="str">
        <f>VLOOKUP(A473,[1]Sheet1!$A:$B,2,0)</f>
        <v>MODI</v>
      </c>
      <c r="C473" s="32" t="s">
        <v>104</v>
      </c>
      <c r="D473" s="31">
        <v>130040670021246</v>
      </c>
      <c r="E473" s="6" t="s">
        <v>74</v>
      </c>
      <c r="F473" s="10" t="s">
        <v>125</v>
      </c>
      <c r="G473" s="39" t="s">
        <v>76</v>
      </c>
      <c r="H473" s="40">
        <v>2024</v>
      </c>
      <c r="I473" s="334">
        <v>10</v>
      </c>
      <c r="J473" s="338">
        <v>45608</v>
      </c>
      <c r="K473" s="240"/>
      <c r="L473" s="400">
        <v>4.7E-2</v>
      </c>
      <c r="M473" s="400">
        <v>5.6399999999999999E-2</v>
      </c>
      <c r="N473" s="405">
        <v>9.4000000000000004E-3</v>
      </c>
      <c r="O473" s="371">
        <f t="shared" si="227"/>
        <v>0</v>
      </c>
      <c r="P473" s="370">
        <v>1</v>
      </c>
      <c r="Q473" s="370">
        <f t="shared" si="226"/>
        <v>4.7E-2</v>
      </c>
      <c r="R473" s="24">
        <v>8198000</v>
      </c>
      <c r="S473" s="15">
        <f t="shared" si="228"/>
        <v>31825818</v>
      </c>
      <c r="T473" s="382">
        <v>1350000</v>
      </c>
      <c r="U473" s="382">
        <f t="shared" si="224"/>
        <v>1050837.3108000001</v>
      </c>
      <c r="V473" s="6" t="s">
        <v>88</v>
      </c>
      <c r="W473" s="22" t="s">
        <v>78</v>
      </c>
      <c r="X473" s="27">
        <v>0.5</v>
      </c>
      <c r="Y473" s="27" t="s">
        <v>79</v>
      </c>
      <c r="Z473" s="27"/>
      <c r="AA473" s="16"/>
      <c r="AB473" s="393">
        <f t="shared" si="221"/>
        <v>462367.2</v>
      </c>
      <c r="AC473" s="17"/>
      <c r="AD473" s="15">
        <f t="shared" si="222"/>
        <v>4099</v>
      </c>
      <c r="AE473" s="10"/>
    </row>
    <row r="474" spans="1:32" s="38" customFormat="1" ht="15.75" customHeight="1">
      <c r="A474" s="6" t="s">
        <v>124</v>
      </c>
      <c r="B474" s="10" t="str">
        <f>VLOOKUP(A474,[1]Sheet1!$A:$B,2,0)</f>
        <v>MODI</v>
      </c>
      <c r="C474" s="32" t="s">
        <v>108</v>
      </c>
      <c r="D474" s="31">
        <v>130040670026558</v>
      </c>
      <c r="E474" s="6" t="s">
        <v>74</v>
      </c>
      <c r="F474" s="10" t="s">
        <v>125</v>
      </c>
      <c r="G474" s="39" t="s">
        <v>76</v>
      </c>
      <c r="H474" s="40">
        <v>2024</v>
      </c>
      <c r="I474" s="334">
        <v>10</v>
      </c>
      <c r="J474" s="338">
        <v>45608</v>
      </c>
      <c r="K474" s="240"/>
      <c r="L474" s="400">
        <v>0.06</v>
      </c>
      <c r="M474" s="400">
        <v>7.0599999999999996E-2</v>
      </c>
      <c r="N474" s="405">
        <v>1.06E-2</v>
      </c>
      <c r="O474" s="371">
        <f t="shared" si="227"/>
        <v>0</v>
      </c>
      <c r="P474" s="370">
        <v>1</v>
      </c>
      <c r="Q474" s="370">
        <f t="shared" si="226"/>
        <v>0.06</v>
      </c>
      <c r="R474" s="24">
        <v>7492006</v>
      </c>
      <c r="S474" s="15">
        <f t="shared" si="228"/>
        <v>31749986</v>
      </c>
      <c r="T474" s="382">
        <v>1530000</v>
      </c>
      <c r="U474" s="382">
        <f t="shared" si="224"/>
        <v>1193450.1484000001</v>
      </c>
      <c r="V474" s="6" t="s">
        <v>88</v>
      </c>
      <c r="W474" s="22" t="s">
        <v>78</v>
      </c>
      <c r="X474" s="27">
        <v>0.9</v>
      </c>
      <c r="Y474" s="27" t="s">
        <v>79</v>
      </c>
      <c r="Z474" s="27"/>
      <c r="AA474" s="16"/>
      <c r="AB474" s="393">
        <f t="shared" si="221"/>
        <v>528935.62359999993</v>
      </c>
      <c r="AC474" s="17"/>
      <c r="AD474" s="15">
        <f t="shared" si="222"/>
        <v>6742.8054000000002</v>
      </c>
      <c r="AE474" s="10"/>
    </row>
    <row r="475" spans="1:32" s="38" customFormat="1" ht="15.75" customHeight="1">
      <c r="A475" s="6" t="s">
        <v>124</v>
      </c>
      <c r="B475" s="10" t="str">
        <f>VLOOKUP(A475,[1]Sheet1!$A:$B,2,0)</f>
        <v>MODI</v>
      </c>
      <c r="C475" s="32" t="s">
        <v>126</v>
      </c>
      <c r="D475" s="31">
        <v>130040670021244</v>
      </c>
      <c r="E475" s="6" t="s">
        <v>74</v>
      </c>
      <c r="F475" s="10" t="s">
        <v>75</v>
      </c>
      <c r="G475" s="39" t="s">
        <v>76</v>
      </c>
      <c r="H475" s="40">
        <v>2024</v>
      </c>
      <c r="I475" s="334">
        <v>10</v>
      </c>
      <c r="J475" s="338">
        <v>45608</v>
      </c>
      <c r="K475" s="240"/>
      <c r="L475" s="400">
        <v>0.12</v>
      </c>
      <c r="M475" s="400">
        <v>0.1331</v>
      </c>
      <c r="N475" s="405">
        <v>1.3100000000000001E-2</v>
      </c>
      <c r="O475" s="371">
        <f t="shared" si="227"/>
        <v>0</v>
      </c>
      <c r="P475" s="370">
        <v>1</v>
      </c>
      <c r="Q475" s="370">
        <f t="shared" si="226"/>
        <v>0.12</v>
      </c>
      <c r="R475" s="24">
        <v>4536132</v>
      </c>
      <c r="S475" s="15">
        <f t="shared" si="228"/>
        <v>19192425</v>
      </c>
      <c r="T475" s="382">
        <v>1260000</v>
      </c>
      <c r="U475" s="382">
        <f t="shared" si="224"/>
        <v>1008579.2324999999</v>
      </c>
      <c r="V475" s="6" t="s">
        <v>115</v>
      </c>
      <c r="W475" s="22" t="s">
        <v>78</v>
      </c>
      <c r="X475" s="27">
        <v>3.42</v>
      </c>
      <c r="Y475" s="27" t="s">
        <v>93</v>
      </c>
      <c r="Z475" s="27"/>
      <c r="AA475" s="16"/>
      <c r="AB475" s="393">
        <f t="shared" si="221"/>
        <v>603759.1692</v>
      </c>
      <c r="AC475" s="17"/>
      <c r="AD475" s="15">
        <f t="shared" si="222"/>
        <v>15513.57144</v>
      </c>
      <c r="AE475" s="10"/>
    </row>
    <row r="476" spans="1:32" s="38" customFormat="1" ht="15.75" customHeight="1">
      <c r="A476" s="6" t="s">
        <v>127</v>
      </c>
      <c r="B476" s="10" t="str">
        <f>VLOOKUP(A476,[1]Sheet1!$A:$B,2,0)</f>
        <v>MODI</v>
      </c>
      <c r="C476" s="32" t="s">
        <v>129</v>
      </c>
      <c r="D476" s="31">
        <v>130040670017658</v>
      </c>
      <c r="E476" s="6" t="s">
        <v>74</v>
      </c>
      <c r="F476" s="10" t="s">
        <v>75</v>
      </c>
      <c r="G476" s="39" t="s">
        <v>76</v>
      </c>
      <c r="H476" s="40">
        <v>2024</v>
      </c>
      <c r="I476" s="334">
        <v>10</v>
      </c>
      <c r="J476" s="338">
        <v>45608</v>
      </c>
      <c r="K476" s="240"/>
      <c r="L476" s="400">
        <v>4.3999999999999997E-2</v>
      </c>
      <c r="M476" s="400">
        <v>5.0799999999999998E-2</v>
      </c>
      <c r="N476" s="405">
        <v>6.7999999999999996E-3</v>
      </c>
      <c r="O476" s="371">
        <f t="shared" si="227"/>
        <v>0</v>
      </c>
      <c r="P476" s="370">
        <v>1</v>
      </c>
      <c r="Q476" s="370">
        <f t="shared" si="226"/>
        <v>4.3999999999999997E-2</v>
      </c>
      <c r="R476" s="24">
        <v>1386000</v>
      </c>
      <c r="S476" s="15">
        <f t="shared" si="228"/>
        <v>4925010</v>
      </c>
      <c r="T476" s="382">
        <v>325000</v>
      </c>
      <c r="U476" s="382">
        <f t="shared" si="224"/>
        <v>291509.93200000003</v>
      </c>
      <c r="V476" s="6" t="s">
        <v>117</v>
      </c>
      <c r="W476" s="22" t="s">
        <v>78</v>
      </c>
      <c r="X476" s="27">
        <v>0.8</v>
      </c>
      <c r="Y476" s="27" t="s">
        <v>118</v>
      </c>
      <c r="Z476" s="27"/>
      <c r="AA476" s="16"/>
      <c r="AB476" s="393">
        <f t="shared" si="221"/>
        <v>70408.800000000003</v>
      </c>
      <c r="AC476" s="17"/>
      <c r="AD476" s="15">
        <f t="shared" si="222"/>
        <v>1108.8</v>
      </c>
      <c r="AE476" s="10"/>
    </row>
    <row r="477" spans="1:32" s="38" customFormat="1" ht="15.75" customHeight="1">
      <c r="A477" s="6" t="s">
        <v>127</v>
      </c>
      <c r="B477" s="10" t="str">
        <f>VLOOKUP(A477,[1]Sheet1!$A:$B,2,0)</f>
        <v>MODI</v>
      </c>
      <c r="C477" s="32" t="s">
        <v>111</v>
      </c>
      <c r="D477" s="31">
        <v>130040670017656</v>
      </c>
      <c r="E477" s="6" t="s">
        <v>74</v>
      </c>
      <c r="F477" s="10" t="s">
        <v>75</v>
      </c>
      <c r="G477" s="39" t="s">
        <v>76</v>
      </c>
      <c r="H477" s="40">
        <v>2024</v>
      </c>
      <c r="I477" s="334">
        <v>10</v>
      </c>
      <c r="J477" s="338">
        <v>45608</v>
      </c>
      <c r="K477" s="240"/>
      <c r="L477" s="400">
        <v>9.6000000000000002E-2</v>
      </c>
      <c r="M477" s="400">
        <v>0.1069</v>
      </c>
      <c r="N477" s="405">
        <v>1.09E-2</v>
      </c>
      <c r="O477" s="371">
        <f t="shared" si="227"/>
        <v>0</v>
      </c>
      <c r="P477" s="370">
        <v>1</v>
      </c>
      <c r="Q477" s="370">
        <f t="shared" si="226"/>
        <v>9.6000000000000002E-2</v>
      </c>
      <c r="R477" s="24">
        <v>1988436</v>
      </c>
      <c r="S477" s="15">
        <f t="shared" si="228"/>
        <v>4872526</v>
      </c>
      <c r="T477" s="382">
        <v>525000</v>
      </c>
      <c r="U477" s="382">
        <f t="shared" si="224"/>
        <v>471889.46659999999</v>
      </c>
      <c r="V477" s="6" t="s">
        <v>115</v>
      </c>
      <c r="W477" s="22" t="s">
        <v>78</v>
      </c>
      <c r="X477" s="27">
        <v>2.4</v>
      </c>
      <c r="Y477" s="27" t="s">
        <v>93</v>
      </c>
      <c r="Z477" s="27"/>
      <c r="AA477" s="16"/>
      <c r="AB477" s="393">
        <f t="shared" si="221"/>
        <v>212563.80839999998</v>
      </c>
      <c r="AC477" s="17"/>
      <c r="AD477" s="15">
        <f t="shared" si="222"/>
        <v>4772.2463999999991</v>
      </c>
      <c r="AE477" s="10"/>
    </row>
    <row r="478" spans="1:32" s="38" customFormat="1" ht="15.75" customHeight="1">
      <c r="A478" s="6" t="s">
        <v>127</v>
      </c>
      <c r="B478" s="10" t="str">
        <f>VLOOKUP(A478,[1]Sheet1!$A:$B,2,0)</f>
        <v>MODI</v>
      </c>
      <c r="C478" s="32" t="s">
        <v>114</v>
      </c>
      <c r="D478" s="31">
        <v>130040670017662</v>
      </c>
      <c r="E478" s="6" t="s">
        <v>74</v>
      </c>
      <c r="F478" s="10" t="s">
        <v>75</v>
      </c>
      <c r="G478" s="39" t="s">
        <v>76</v>
      </c>
      <c r="H478" s="40">
        <v>2024</v>
      </c>
      <c r="I478" s="334">
        <v>10</v>
      </c>
      <c r="J478" s="338">
        <v>45608</v>
      </c>
      <c r="K478" s="240"/>
      <c r="L478" s="400">
        <v>4.8000000000000001E-2</v>
      </c>
      <c r="M478" s="400">
        <v>6.0299999999999999E-2</v>
      </c>
      <c r="N478" s="405">
        <v>1.23E-2</v>
      </c>
      <c r="O478" s="371">
        <f t="shared" si="227"/>
        <v>0</v>
      </c>
      <c r="P478" s="370">
        <v>1</v>
      </c>
      <c r="Q478" s="370">
        <f t="shared" si="226"/>
        <v>4.8000000000000001E-2</v>
      </c>
      <c r="R478" s="24">
        <v>1693000</v>
      </c>
      <c r="S478" s="15">
        <f t="shared" si="228"/>
        <v>4548564</v>
      </c>
      <c r="T478" s="382">
        <v>589000</v>
      </c>
      <c r="U478" s="382">
        <f>T478-N478*S478</f>
        <v>533052.66280000005</v>
      </c>
      <c r="V478" s="6" t="s">
        <v>115</v>
      </c>
      <c r="W478" s="22" t="s">
        <v>78</v>
      </c>
      <c r="X478" s="27">
        <v>0.67</v>
      </c>
      <c r="Y478" s="27" t="s">
        <v>93</v>
      </c>
      <c r="Z478" s="27"/>
      <c r="AA478" s="16"/>
      <c r="AB478" s="393">
        <f t="shared" ref="AB478:AB509" si="229">M478*R478</f>
        <v>102087.9</v>
      </c>
      <c r="AC478" s="17"/>
      <c r="AD478" s="15">
        <f t="shared" si="222"/>
        <v>1134.31</v>
      </c>
      <c r="AE478" s="10"/>
    </row>
    <row r="479" spans="1:32" s="11" customFormat="1" ht="15.75" customHeight="1">
      <c r="A479" s="327" t="s">
        <v>130</v>
      </c>
      <c r="B479" s="310" t="s">
        <v>36</v>
      </c>
      <c r="C479" s="311" t="s">
        <v>147</v>
      </c>
      <c r="D479" s="31">
        <v>130040670023444</v>
      </c>
      <c r="E479" s="310" t="s">
        <v>0</v>
      </c>
      <c r="F479" s="310" t="s">
        <v>128</v>
      </c>
      <c r="G479" s="312" t="s">
        <v>76</v>
      </c>
      <c r="H479" s="312">
        <v>2024</v>
      </c>
      <c r="I479" s="334">
        <v>11</v>
      </c>
      <c r="J479" s="338">
        <v>45629</v>
      </c>
      <c r="K479" s="313" t="s">
        <v>38</v>
      </c>
      <c r="L479" s="397">
        <v>0.7006</v>
      </c>
      <c r="M479" s="397">
        <v>0.7419</v>
      </c>
      <c r="N479" s="407">
        <v>4.1300000000000003E-2</v>
      </c>
      <c r="O479" s="396" t="s">
        <v>148</v>
      </c>
      <c r="P479" s="376">
        <v>1</v>
      </c>
      <c r="Q479" s="377" t="s">
        <v>149</v>
      </c>
      <c r="R479" s="310">
        <v>700629</v>
      </c>
      <c r="S479" s="314">
        <v>10981930</v>
      </c>
      <c r="T479" s="387">
        <v>1980000</v>
      </c>
      <c r="U479" s="382">
        <f>T479-N479*S479</f>
        <v>1526446.291</v>
      </c>
      <c r="V479" s="310" t="s">
        <v>150</v>
      </c>
      <c r="W479" s="22" t="s">
        <v>78</v>
      </c>
      <c r="X479" s="310">
        <v>10.1</v>
      </c>
      <c r="Y479" s="310" t="s">
        <v>151</v>
      </c>
      <c r="Z479" s="310"/>
      <c r="AA479" s="310" t="s">
        <v>38</v>
      </c>
      <c r="AB479" s="393">
        <f t="shared" si="229"/>
        <v>519796.65509999997</v>
      </c>
      <c r="AC479" s="310" t="s">
        <v>38</v>
      </c>
      <c r="AD479" s="329">
        <v>7076</v>
      </c>
      <c r="AE479" s="310" t="s">
        <v>38</v>
      </c>
      <c r="AF479" s="309" t="s">
        <v>38</v>
      </c>
    </row>
    <row r="480" spans="1:32" s="11" customFormat="1" ht="15.75" customHeight="1">
      <c r="A480" s="328" t="s">
        <v>130</v>
      </c>
      <c r="B480" s="315" t="s">
        <v>36</v>
      </c>
      <c r="C480" s="316" t="s">
        <v>152</v>
      </c>
      <c r="D480" s="31">
        <v>130040670023440</v>
      </c>
      <c r="E480" s="315" t="s">
        <v>0</v>
      </c>
      <c r="F480" s="315" t="s">
        <v>153</v>
      </c>
      <c r="G480" s="317" t="s">
        <v>76</v>
      </c>
      <c r="H480" s="317">
        <v>2024</v>
      </c>
      <c r="I480" s="334">
        <v>11</v>
      </c>
      <c r="J480" s="338">
        <v>45629</v>
      </c>
      <c r="K480" s="318" t="s">
        <v>38</v>
      </c>
      <c r="L480" s="397">
        <v>0.12970000000000001</v>
      </c>
      <c r="M480" s="397">
        <v>0.15260000000000001</v>
      </c>
      <c r="N480" s="407">
        <v>2.29E-2</v>
      </c>
      <c r="O480" s="396" t="s">
        <v>154</v>
      </c>
      <c r="P480" s="378">
        <v>1</v>
      </c>
      <c r="Q480" s="379" t="s">
        <v>155</v>
      </c>
      <c r="R480" s="315">
        <v>734291</v>
      </c>
      <c r="S480" s="320">
        <f t="shared" ref="S480:S485" si="230">R480+S454</f>
        <v>12489814</v>
      </c>
      <c r="T480" s="388">
        <v>1100000</v>
      </c>
      <c r="U480" s="382">
        <f>T480-N480*S480</f>
        <v>813983.25939999998</v>
      </c>
      <c r="V480" s="315" t="s">
        <v>156</v>
      </c>
      <c r="W480" s="22" t="s">
        <v>78</v>
      </c>
      <c r="X480" s="315">
        <v>2.4</v>
      </c>
      <c r="Y480" s="315" t="s">
        <v>157</v>
      </c>
      <c r="Z480" s="315"/>
      <c r="AA480" s="315" t="s">
        <v>38</v>
      </c>
      <c r="AB480" s="393">
        <f t="shared" si="229"/>
        <v>112052.80660000001</v>
      </c>
      <c r="AC480" s="315" t="s">
        <v>38</v>
      </c>
      <c r="AD480" s="330">
        <v>1762</v>
      </c>
      <c r="AE480" s="315" t="s">
        <v>38</v>
      </c>
      <c r="AF480" s="309" t="s">
        <v>38</v>
      </c>
    </row>
    <row r="481" spans="1:32" s="11" customFormat="1" ht="15.75" customHeight="1">
      <c r="A481" s="328" t="s">
        <v>130</v>
      </c>
      <c r="B481" s="315" t="s">
        <v>36</v>
      </c>
      <c r="C481" s="316" t="s">
        <v>158</v>
      </c>
      <c r="D481" s="31">
        <v>130040670023442</v>
      </c>
      <c r="E481" s="315" t="s">
        <v>0</v>
      </c>
      <c r="F481" s="315" t="s">
        <v>153</v>
      </c>
      <c r="G481" s="317" t="s">
        <v>76</v>
      </c>
      <c r="H481" s="317">
        <v>2024</v>
      </c>
      <c r="I481" s="334">
        <v>11</v>
      </c>
      <c r="J481" s="338">
        <v>45629</v>
      </c>
      <c r="K481" s="318" t="s">
        <v>38</v>
      </c>
      <c r="L481" s="397">
        <v>0.1135</v>
      </c>
      <c r="M481" s="397">
        <v>0.1343</v>
      </c>
      <c r="N481" s="407">
        <v>2.0799999999999999E-2</v>
      </c>
      <c r="O481" s="396" t="s">
        <v>154</v>
      </c>
      <c r="P481" s="378">
        <v>1</v>
      </c>
      <c r="Q481" s="379" t="s">
        <v>159</v>
      </c>
      <c r="R481" s="343">
        <v>504472</v>
      </c>
      <c r="S481" s="320">
        <f t="shared" si="230"/>
        <v>12304529</v>
      </c>
      <c r="T481" s="388">
        <v>999000</v>
      </c>
      <c r="U481" s="382">
        <f>T481-N481*S481</f>
        <v>743065.79680000001</v>
      </c>
      <c r="V481" s="315" t="s">
        <v>156</v>
      </c>
      <c r="W481" s="22" t="s">
        <v>78</v>
      </c>
      <c r="X481" s="315">
        <v>1.8</v>
      </c>
      <c r="Y481" s="315" t="s">
        <v>157</v>
      </c>
      <c r="Z481" s="315"/>
      <c r="AA481" s="315" t="s">
        <v>38</v>
      </c>
      <c r="AB481" s="393">
        <f t="shared" si="229"/>
        <v>67750.589600000007</v>
      </c>
      <c r="AC481" s="315" t="s">
        <v>38</v>
      </c>
      <c r="AD481" s="330">
        <v>1078</v>
      </c>
      <c r="AE481" s="315" t="s">
        <v>38</v>
      </c>
      <c r="AF481" s="309" t="s">
        <v>38</v>
      </c>
    </row>
    <row r="482" spans="1:32" s="11" customFormat="1" ht="15.75" customHeight="1">
      <c r="A482" s="328" t="s">
        <v>130</v>
      </c>
      <c r="B482" s="315" t="s">
        <v>36</v>
      </c>
      <c r="C482" s="316" t="s">
        <v>160</v>
      </c>
      <c r="D482" s="31">
        <v>130040670023448</v>
      </c>
      <c r="E482" s="315" t="s">
        <v>0</v>
      </c>
      <c r="F482" s="315" t="s">
        <v>153</v>
      </c>
      <c r="G482" s="317" t="s">
        <v>76</v>
      </c>
      <c r="H482" s="317">
        <v>2024</v>
      </c>
      <c r="I482" s="334">
        <v>11</v>
      </c>
      <c r="J482" s="338">
        <v>45629</v>
      </c>
      <c r="K482" s="318" t="s">
        <v>38</v>
      </c>
      <c r="L482" s="402">
        <v>0.1056</v>
      </c>
      <c r="M482" s="402">
        <v>0.11840000000000001</v>
      </c>
      <c r="N482" s="402">
        <v>1.2800000000000001E-2</v>
      </c>
      <c r="O482" s="396" t="s">
        <v>154</v>
      </c>
      <c r="P482" s="378">
        <v>1</v>
      </c>
      <c r="Q482" s="379" t="s">
        <v>161</v>
      </c>
      <c r="R482" s="343">
        <v>269400</v>
      </c>
      <c r="S482" s="320">
        <f>R482+S456</f>
        <v>10061092</v>
      </c>
      <c r="T482" s="388">
        <v>615000</v>
      </c>
      <c r="U482" s="382">
        <f>T482-N482*S482</f>
        <v>486218.02240000002</v>
      </c>
      <c r="V482" s="315" t="s">
        <v>150</v>
      </c>
      <c r="W482" s="22" t="s">
        <v>78</v>
      </c>
      <c r="X482" s="315">
        <v>1.4</v>
      </c>
      <c r="Y482" s="315" t="s">
        <v>151</v>
      </c>
      <c r="Z482" s="315"/>
      <c r="AA482" s="315" t="s">
        <v>38</v>
      </c>
      <c r="AB482" s="393">
        <f t="shared" si="229"/>
        <v>31896.960000000003</v>
      </c>
      <c r="AC482" s="315" t="s">
        <v>38</v>
      </c>
      <c r="AD482" s="331">
        <v>889</v>
      </c>
      <c r="AE482" s="315" t="s">
        <v>38</v>
      </c>
      <c r="AF482" s="309" t="s">
        <v>38</v>
      </c>
    </row>
    <row r="483" spans="1:32" s="11" customFormat="1" ht="15.75" customHeight="1">
      <c r="A483" s="328" t="s">
        <v>130</v>
      </c>
      <c r="B483" s="315" t="s">
        <v>36</v>
      </c>
      <c r="C483" s="316" t="s">
        <v>162</v>
      </c>
      <c r="D483" s="31">
        <v>130040670023445</v>
      </c>
      <c r="E483" s="315" t="s">
        <v>0</v>
      </c>
      <c r="F483" s="315" t="s">
        <v>153</v>
      </c>
      <c r="G483" s="317" t="s">
        <v>76</v>
      </c>
      <c r="H483" s="317">
        <v>2024</v>
      </c>
      <c r="I483" s="334">
        <v>11</v>
      </c>
      <c r="J483" s="338">
        <v>45629</v>
      </c>
      <c r="K483" s="318" t="s">
        <v>38</v>
      </c>
      <c r="L483" s="402">
        <v>9.5299999999999996E-2</v>
      </c>
      <c r="M483" s="402">
        <v>0.1072</v>
      </c>
      <c r="N483" s="402">
        <v>1.1900000000000001E-2</v>
      </c>
      <c r="O483" s="396" t="s">
        <v>154</v>
      </c>
      <c r="P483" s="378">
        <v>1</v>
      </c>
      <c r="Q483" s="379" t="s">
        <v>163</v>
      </c>
      <c r="R483" s="315">
        <v>0</v>
      </c>
      <c r="S483" s="320">
        <f t="shared" si="230"/>
        <v>10199610</v>
      </c>
      <c r="T483" s="388">
        <v>570000</v>
      </c>
      <c r="U483" s="388">
        <v>445087</v>
      </c>
      <c r="V483" s="315" t="s">
        <v>150</v>
      </c>
      <c r="W483" s="22" t="s">
        <v>78</v>
      </c>
      <c r="X483" s="315">
        <v>1.2</v>
      </c>
      <c r="Y483" s="315" t="s">
        <v>151</v>
      </c>
      <c r="Z483" s="315"/>
      <c r="AA483" s="315" t="s">
        <v>38</v>
      </c>
      <c r="AB483" s="393">
        <f t="shared" si="229"/>
        <v>0</v>
      </c>
      <c r="AC483" s="315" t="s">
        <v>38</v>
      </c>
      <c r="AD483" s="331" t="s">
        <v>164</v>
      </c>
      <c r="AE483" s="315" t="s">
        <v>38</v>
      </c>
      <c r="AF483" s="309" t="s">
        <v>38</v>
      </c>
    </row>
    <row r="484" spans="1:32" s="11" customFormat="1" ht="15.75" customHeight="1">
      <c r="A484" s="328" t="s">
        <v>130</v>
      </c>
      <c r="B484" s="315" t="s">
        <v>36</v>
      </c>
      <c r="C484" s="316" t="s">
        <v>165</v>
      </c>
      <c r="D484" s="31">
        <v>130040670023443</v>
      </c>
      <c r="E484" s="315" t="s">
        <v>0</v>
      </c>
      <c r="F484" s="315" t="s">
        <v>128</v>
      </c>
      <c r="G484" s="317" t="s">
        <v>76</v>
      </c>
      <c r="H484" s="317">
        <v>2024</v>
      </c>
      <c r="I484" s="334">
        <v>11</v>
      </c>
      <c r="J484" s="338">
        <v>45629</v>
      </c>
      <c r="K484" s="318" t="s">
        <v>38</v>
      </c>
      <c r="L484" s="402">
        <v>5.2299999999999999E-2</v>
      </c>
      <c r="M484" s="402">
        <v>5.8900000000000001E-2</v>
      </c>
      <c r="N484" s="402">
        <v>6.6E-3</v>
      </c>
      <c r="O484" s="396" t="s">
        <v>154</v>
      </c>
      <c r="P484" s="378">
        <v>1</v>
      </c>
      <c r="Q484" s="379" t="s">
        <v>166</v>
      </c>
      <c r="R484" s="315">
        <v>652747</v>
      </c>
      <c r="S484" s="320">
        <f t="shared" si="230"/>
        <v>10735684</v>
      </c>
      <c r="T484" s="388">
        <v>315000</v>
      </c>
      <c r="U484" s="388">
        <v>244144</v>
      </c>
      <c r="V484" s="315" t="s">
        <v>167</v>
      </c>
      <c r="W484" s="22" t="s">
        <v>78</v>
      </c>
      <c r="X484" s="315">
        <v>1.06</v>
      </c>
      <c r="Y484" s="321" t="s">
        <v>168</v>
      </c>
      <c r="Z484" s="321"/>
      <c r="AA484" s="315" t="s">
        <v>38</v>
      </c>
      <c r="AB484" s="393">
        <f t="shared" si="229"/>
        <v>38446.798300000002</v>
      </c>
      <c r="AC484" s="315" t="s">
        <v>38</v>
      </c>
      <c r="AD484" s="331">
        <v>692</v>
      </c>
      <c r="AE484" s="315" t="s">
        <v>38</v>
      </c>
      <c r="AF484" s="309" t="s">
        <v>38</v>
      </c>
    </row>
    <row r="485" spans="1:32" s="11" customFormat="1" ht="15.75" customHeight="1">
      <c r="A485" s="328" t="s">
        <v>130</v>
      </c>
      <c r="B485" s="315" t="s">
        <v>36</v>
      </c>
      <c r="C485" s="316" t="s">
        <v>169</v>
      </c>
      <c r="D485" s="31">
        <v>130040670024534</v>
      </c>
      <c r="E485" s="315" t="s">
        <v>0</v>
      </c>
      <c r="F485" s="315" t="s">
        <v>153</v>
      </c>
      <c r="G485" s="317" t="s">
        <v>76</v>
      </c>
      <c r="H485" s="317">
        <v>2024</v>
      </c>
      <c r="I485" s="334">
        <v>11</v>
      </c>
      <c r="J485" s="338">
        <v>45629</v>
      </c>
      <c r="K485" s="318" t="s">
        <v>38</v>
      </c>
      <c r="L485" s="402">
        <v>3.4099999999999998E-2</v>
      </c>
      <c r="M485" s="402">
        <v>4.1300000000000003E-2</v>
      </c>
      <c r="N485" s="402">
        <v>7.1999999999999998E-3</v>
      </c>
      <c r="O485" s="396" t="s">
        <v>154</v>
      </c>
      <c r="P485" s="378">
        <v>1</v>
      </c>
      <c r="Q485" s="379" t="s">
        <v>170</v>
      </c>
      <c r="R485" s="315">
        <v>623000</v>
      </c>
      <c r="S485" s="320">
        <f t="shared" si="230"/>
        <v>12445517</v>
      </c>
      <c r="T485" s="388">
        <v>345000</v>
      </c>
      <c r="U485" s="388">
        <v>255392</v>
      </c>
      <c r="V485" s="315" t="s">
        <v>171</v>
      </c>
      <c r="W485" s="22" t="s">
        <v>78</v>
      </c>
      <c r="X485" s="315">
        <v>0.27</v>
      </c>
      <c r="Y485" s="315" t="s">
        <v>172</v>
      </c>
      <c r="Z485" s="315"/>
      <c r="AA485" s="315" t="s">
        <v>38</v>
      </c>
      <c r="AB485" s="393">
        <f t="shared" si="229"/>
        <v>25729.9</v>
      </c>
      <c r="AC485" s="315" t="s">
        <v>38</v>
      </c>
      <c r="AD485" s="331">
        <v>168</v>
      </c>
      <c r="AE485" s="315" t="s">
        <v>38</v>
      </c>
      <c r="AF485" s="309" t="s">
        <v>38</v>
      </c>
    </row>
    <row r="486" spans="1:32" s="11" customFormat="1" ht="15.75" customHeight="1">
      <c r="A486" s="328" t="s">
        <v>127</v>
      </c>
      <c r="B486" s="315" t="s">
        <v>36</v>
      </c>
      <c r="C486" s="316" t="s">
        <v>173</v>
      </c>
      <c r="D486" s="31">
        <v>130040670017658</v>
      </c>
      <c r="E486" s="315" t="s">
        <v>0</v>
      </c>
      <c r="F486" s="315" t="s">
        <v>128</v>
      </c>
      <c r="G486" s="317" t="s">
        <v>76</v>
      </c>
      <c r="H486" s="317">
        <v>2024</v>
      </c>
      <c r="I486" s="334">
        <v>11</v>
      </c>
      <c r="J486" s="338">
        <v>45629</v>
      </c>
      <c r="K486" s="318" t="s">
        <v>38</v>
      </c>
      <c r="L486" s="402">
        <v>4.3999999999999997E-2</v>
      </c>
      <c r="M486" s="402">
        <v>5.0799999999999998E-2</v>
      </c>
      <c r="N486" s="402">
        <v>6.7999999999999996E-3</v>
      </c>
      <c r="O486" s="396" t="s">
        <v>154</v>
      </c>
      <c r="P486" s="378">
        <v>1</v>
      </c>
      <c r="Q486" s="379" t="s">
        <v>174</v>
      </c>
      <c r="R486" s="315">
        <v>757711</v>
      </c>
      <c r="S486" s="320">
        <f>R486+S476</f>
        <v>5682721</v>
      </c>
      <c r="T486" s="388">
        <v>325000</v>
      </c>
      <c r="U486" s="388">
        <v>286357</v>
      </c>
      <c r="V486" s="315" t="s">
        <v>171</v>
      </c>
      <c r="W486" s="22" t="s">
        <v>78</v>
      </c>
      <c r="X486" s="315">
        <v>0.8</v>
      </c>
      <c r="Y486" s="315" t="s">
        <v>172</v>
      </c>
      <c r="Z486" s="315"/>
      <c r="AA486" s="315" t="s">
        <v>38</v>
      </c>
      <c r="AB486" s="393">
        <f t="shared" si="229"/>
        <v>38491.718799999995</v>
      </c>
      <c r="AC486" s="315" t="s">
        <v>38</v>
      </c>
      <c r="AD486" s="331">
        <v>606</v>
      </c>
      <c r="AE486" s="315" t="s">
        <v>38</v>
      </c>
      <c r="AF486" s="309" t="s">
        <v>38</v>
      </c>
    </row>
    <row r="487" spans="1:32" s="11" customFormat="1" ht="15.75" customHeight="1">
      <c r="A487" s="328" t="s">
        <v>127</v>
      </c>
      <c r="B487" s="315" t="s">
        <v>36</v>
      </c>
      <c r="C487" s="316" t="s">
        <v>158</v>
      </c>
      <c r="D487" s="31">
        <v>130040670017656</v>
      </c>
      <c r="E487" s="315" t="s">
        <v>0</v>
      </c>
      <c r="F487" s="315" t="s">
        <v>128</v>
      </c>
      <c r="G487" s="317" t="s">
        <v>76</v>
      </c>
      <c r="H487" s="317">
        <v>2024</v>
      </c>
      <c r="I487" s="334">
        <v>11</v>
      </c>
      <c r="J487" s="338">
        <v>45629</v>
      </c>
      <c r="K487" s="318" t="s">
        <v>38</v>
      </c>
      <c r="L487" s="402">
        <v>9.6000000000000002E-2</v>
      </c>
      <c r="M487" s="402">
        <v>0.1069</v>
      </c>
      <c r="N487" s="402">
        <v>1.09E-2</v>
      </c>
      <c r="O487" s="396" t="s">
        <v>154</v>
      </c>
      <c r="P487" s="378">
        <v>1</v>
      </c>
      <c r="Q487" s="379" t="s">
        <v>175</v>
      </c>
      <c r="R487" s="315">
        <v>997955</v>
      </c>
      <c r="S487" s="320">
        <f>R487+S477</f>
        <v>5870481</v>
      </c>
      <c r="T487" s="388">
        <v>525000</v>
      </c>
      <c r="U487" s="388">
        <v>461012</v>
      </c>
      <c r="V487" s="315" t="s">
        <v>156</v>
      </c>
      <c r="W487" s="22" t="s">
        <v>78</v>
      </c>
      <c r="X487" s="315">
        <v>2.4</v>
      </c>
      <c r="Y487" s="315" t="s">
        <v>157</v>
      </c>
      <c r="Z487" s="315"/>
      <c r="AA487" s="315" t="s">
        <v>38</v>
      </c>
      <c r="AB487" s="393">
        <f t="shared" si="229"/>
        <v>106681.38949999999</v>
      </c>
      <c r="AC487" s="315" t="s">
        <v>38</v>
      </c>
      <c r="AD487" s="330">
        <v>2395</v>
      </c>
      <c r="AE487" s="315" t="s">
        <v>38</v>
      </c>
      <c r="AF487" s="309" t="s">
        <v>38</v>
      </c>
    </row>
    <row r="488" spans="1:32" s="11" customFormat="1" ht="15.75" customHeight="1">
      <c r="A488" s="328" t="s">
        <v>127</v>
      </c>
      <c r="B488" s="315" t="s">
        <v>36</v>
      </c>
      <c r="C488" s="316" t="s">
        <v>152</v>
      </c>
      <c r="D488" s="31">
        <v>130040670017662</v>
      </c>
      <c r="E488" s="315" t="s">
        <v>0</v>
      </c>
      <c r="F488" s="315" t="s">
        <v>128</v>
      </c>
      <c r="G488" s="317" t="s">
        <v>76</v>
      </c>
      <c r="H488" s="317">
        <v>2024</v>
      </c>
      <c r="I488" s="334">
        <v>11</v>
      </c>
      <c r="J488" s="338">
        <v>45629</v>
      </c>
      <c r="K488" s="318" t="s">
        <v>38</v>
      </c>
      <c r="L488" s="402">
        <v>4.8000000000000001E-2</v>
      </c>
      <c r="M488" s="402">
        <v>6.0299999999999999E-2</v>
      </c>
      <c r="N488" s="402">
        <v>1.23E-2</v>
      </c>
      <c r="O488" s="396" t="s">
        <v>154</v>
      </c>
      <c r="P488" s="378">
        <v>1</v>
      </c>
      <c r="Q488" s="379" t="s">
        <v>176</v>
      </c>
      <c r="R488" s="315">
        <v>612000</v>
      </c>
      <c r="S488" s="320">
        <f>R488+S478</f>
        <v>5160564</v>
      </c>
      <c r="T488" s="388">
        <v>589000</v>
      </c>
      <c r="U488" s="388">
        <v>525525</v>
      </c>
      <c r="V488" s="315" t="s">
        <v>156</v>
      </c>
      <c r="W488" s="22" t="s">
        <v>78</v>
      </c>
      <c r="X488" s="315">
        <v>0.67</v>
      </c>
      <c r="Y488" s="315" t="s">
        <v>157</v>
      </c>
      <c r="Z488" s="315"/>
      <c r="AA488" s="315" t="s">
        <v>38</v>
      </c>
      <c r="AB488" s="393">
        <f t="shared" si="229"/>
        <v>36903.599999999999</v>
      </c>
      <c r="AC488" s="315" t="s">
        <v>38</v>
      </c>
      <c r="AD488" s="331">
        <v>410</v>
      </c>
      <c r="AE488" s="315" t="s">
        <v>38</v>
      </c>
      <c r="AF488" s="309" t="s">
        <v>38</v>
      </c>
    </row>
    <row r="489" spans="1:32" s="11" customFormat="1" ht="15.75" customHeight="1">
      <c r="A489" s="328" t="s">
        <v>124</v>
      </c>
      <c r="B489" s="315" t="s">
        <v>36</v>
      </c>
      <c r="C489" s="316" t="s">
        <v>147</v>
      </c>
      <c r="D489" s="31">
        <v>130040670021245</v>
      </c>
      <c r="E489" s="315" t="s">
        <v>0</v>
      </c>
      <c r="F489" s="315" t="s">
        <v>127</v>
      </c>
      <c r="G489" s="317" t="s">
        <v>76</v>
      </c>
      <c r="H489" s="317">
        <v>2024</v>
      </c>
      <c r="I489" s="334">
        <v>11</v>
      </c>
      <c r="J489" s="338">
        <v>45629</v>
      </c>
      <c r="K489" s="318" t="s">
        <v>38</v>
      </c>
      <c r="L489" s="402">
        <v>0.28100000000000003</v>
      </c>
      <c r="M489" s="402">
        <v>0.30070000000000002</v>
      </c>
      <c r="N489" s="402">
        <v>1.9699999999999999E-2</v>
      </c>
      <c r="O489" s="396" t="s">
        <v>154</v>
      </c>
      <c r="P489" s="378">
        <v>1</v>
      </c>
      <c r="Q489" s="379" t="s">
        <v>177</v>
      </c>
      <c r="R489" s="315">
        <v>4572722</v>
      </c>
      <c r="S489" s="320">
        <f>R489+S472</f>
        <v>37071274</v>
      </c>
      <c r="T489" s="388">
        <v>3150000</v>
      </c>
      <c r="U489" s="388">
        <v>2419696</v>
      </c>
      <c r="V489" s="315" t="s">
        <v>150</v>
      </c>
      <c r="W489" s="22" t="s">
        <v>78</v>
      </c>
      <c r="X489" s="315">
        <v>4.5</v>
      </c>
      <c r="Y489" s="315" t="s">
        <v>151</v>
      </c>
      <c r="Z489" s="315"/>
      <c r="AA489" s="315" t="s">
        <v>38</v>
      </c>
      <c r="AB489" s="393">
        <f t="shared" si="229"/>
        <v>1375017.5054000001</v>
      </c>
      <c r="AC489" s="315" t="s">
        <v>38</v>
      </c>
      <c r="AD489" s="330">
        <v>20577</v>
      </c>
      <c r="AE489" s="315" t="s">
        <v>38</v>
      </c>
      <c r="AF489" s="309" t="s">
        <v>38</v>
      </c>
    </row>
    <row r="490" spans="1:32" s="11" customFormat="1" ht="15.75" customHeight="1">
      <c r="A490" s="328" t="s">
        <v>124</v>
      </c>
      <c r="B490" s="315" t="s">
        <v>36</v>
      </c>
      <c r="C490" s="316" t="s">
        <v>162</v>
      </c>
      <c r="D490" s="31">
        <v>130040670021246</v>
      </c>
      <c r="E490" s="315" t="s">
        <v>0</v>
      </c>
      <c r="F490" s="315" t="s">
        <v>127</v>
      </c>
      <c r="G490" s="317" t="s">
        <v>76</v>
      </c>
      <c r="H490" s="317">
        <v>2024</v>
      </c>
      <c r="I490" s="334">
        <v>11</v>
      </c>
      <c r="J490" s="338">
        <v>45629</v>
      </c>
      <c r="K490" s="318" t="s">
        <v>38</v>
      </c>
      <c r="L490" s="402">
        <v>4.7E-2</v>
      </c>
      <c r="M490" s="402">
        <v>5.6399999999999999E-2</v>
      </c>
      <c r="N490" s="402">
        <v>9.4000000000000004E-3</v>
      </c>
      <c r="O490" s="396" t="s">
        <v>154</v>
      </c>
      <c r="P490" s="378">
        <v>1</v>
      </c>
      <c r="Q490" s="379" t="s">
        <v>178</v>
      </c>
      <c r="R490" s="315">
        <v>3996000</v>
      </c>
      <c r="S490" s="320">
        <f>R490+S473</f>
        <v>35821818</v>
      </c>
      <c r="T490" s="388">
        <v>1350000</v>
      </c>
      <c r="U490" s="388">
        <v>1013275</v>
      </c>
      <c r="V490" s="315" t="s">
        <v>150</v>
      </c>
      <c r="W490" s="22" t="s">
        <v>78</v>
      </c>
      <c r="X490" s="315">
        <v>0.5</v>
      </c>
      <c r="Y490" s="315" t="s">
        <v>151</v>
      </c>
      <c r="Z490" s="315"/>
      <c r="AA490" s="315" t="s">
        <v>38</v>
      </c>
      <c r="AB490" s="393">
        <f t="shared" si="229"/>
        <v>225374.4</v>
      </c>
      <c r="AC490" s="315" t="s">
        <v>38</v>
      </c>
      <c r="AD490" s="330">
        <v>1998</v>
      </c>
      <c r="AE490" s="315" t="s">
        <v>38</v>
      </c>
      <c r="AF490" s="309" t="s">
        <v>38</v>
      </c>
    </row>
    <row r="491" spans="1:32" s="11" customFormat="1" ht="15.75" customHeight="1">
      <c r="A491" s="328" t="s">
        <v>124</v>
      </c>
      <c r="B491" s="315" t="s">
        <v>36</v>
      </c>
      <c r="C491" s="316" t="s">
        <v>160</v>
      </c>
      <c r="D491" s="31">
        <v>130040670026558</v>
      </c>
      <c r="E491" s="315" t="s">
        <v>0</v>
      </c>
      <c r="F491" s="315" t="s">
        <v>127</v>
      </c>
      <c r="G491" s="317" t="s">
        <v>76</v>
      </c>
      <c r="H491" s="317">
        <v>2024</v>
      </c>
      <c r="I491" s="334">
        <v>11</v>
      </c>
      <c r="J491" s="338">
        <v>45629</v>
      </c>
      <c r="K491" s="318" t="s">
        <v>38</v>
      </c>
      <c r="L491" s="402">
        <v>0.06</v>
      </c>
      <c r="M491" s="402">
        <v>7.0599999999999996E-2</v>
      </c>
      <c r="N491" s="402">
        <v>1.06E-2</v>
      </c>
      <c r="O491" s="396" t="s">
        <v>154</v>
      </c>
      <c r="P491" s="378">
        <v>1</v>
      </c>
      <c r="Q491" s="379" t="s">
        <v>179</v>
      </c>
      <c r="R491" s="315">
        <v>4230000</v>
      </c>
      <c r="S491" s="320">
        <f>R491+S474</f>
        <v>35979986</v>
      </c>
      <c r="T491" s="388">
        <v>1530000</v>
      </c>
      <c r="U491" s="388">
        <v>1148612</v>
      </c>
      <c r="V491" s="315" t="s">
        <v>150</v>
      </c>
      <c r="W491" s="22" t="s">
        <v>78</v>
      </c>
      <c r="X491" s="315">
        <v>0.9</v>
      </c>
      <c r="Y491" s="315" t="s">
        <v>151</v>
      </c>
      <c r="Z491" s="315"/>
      <c r="AA491" s="315" t="s">
        <v>38</v>
      </c>
      <c r="AB491" s="393">
        <f t="shared" si="229"/>
        <v>298638</v>
      </c>
      <c r="AC491" s="315" t="s">
        <v>38</v>
      </c>
      <c r="AD491" s="330">
        <v>3807</v>
      </c>
      <c r="AE491" s="315" t="s">
        <v>38</v>
      </c>
      <c r="AF491" s="309" t="s">
        <v>38</v>
      </c>
    </row>
    <row r="492" spans="1:32" s="11" customFormat="1" ht="15.75" customHeight="1">
      <c r="A492" s="328" t="s">
        <v>124</v>
      </c>
      <c r="B492" s="315" t="s">
        <v>36</v>
      </c>
      <c r="C492" s="316" t="s">
        <v>180</v>
      </c>
      <c r="D492" s="31">
        <v>130040670021244</v>
      </c>
      <c r="E492" s="315" t="s">
        <v>0</v>
      </c>
      <c r="F492" s="315" t="s">
        <v>128</v>
      </c>
      <c r="G492" s="317" t="s">
        <v>76</v>
      </c>
      <c r="H492" s="317">
        <v>2024</v>
      </c>
      <c r="I492" s="334">
        <v>11</v>
      </c>
      <c r="J492" s="338">
        <v>45629</v>
      </c>
      <c r="K492" s="318" t="s">
        <v>38</v>
      </c>
      <c r="L492" s="402">
        <v>0.12</v>
      </c>
      <c r="M492" s="402">
        <v>0.1331</v>
      </c>
      <c r="N492" s="402">
        <v>1.3100000000000001E-2</v>
      </c>
      <c r="O492" s="396" t="s">
        <v>154</v>
      </c>
      <c r="P492" s="378">
        <v>1</v>
      </c>
      <c r="Q492" s="379" t="s">
        <v>181</v>
      </c>
      <c r="R492" s="315">
        <v>2776448</v>
      </c>
      <c r="S492" s="320">
        <f>R492+S475</f>
        <v>21968873</v>
      </c>
      <c r="T492" s="388">
        <v>1260000</v>
      </c>
      <c r="U492" s="388">
        <v>972208</v>
      </c>
      <c r="V492" s="315" t="s">
        <v>156</v>
      </c>
      <c r="W492" s="22" t="s">
        <v>78</v>
      </c>
      <c r="X492" s="315">
        <v>3.42</v>
      </c>
      <c r="Y492" s="315" t="s">
        <v>157</v>
      </c>
      <c r="Z492" s="315"/>
      <c r="AA492" s="315" t="s">
        <v>38</v>
      </c>
      <c r="AB492" s="393">
        <f t="shared" si="229"/>
        <v>369545.22879999998</v>
      </c>
      <c r="AC492" s="315" t="s">
        <v>38</v>
      </c>
      <c r="AD492" s="330">
        <v>9495</v>
      </c>
      <c r="AE492" s="315" t="s">
        <v>38</v>
      </c>
      <c r="AF492" s="309" t="s">
        <v>38</v>
      </c>
    </row>
    <row r="493" spans="1:32" s="11" customFormat="1" ht="15.75" customHeight="1">
      <c r="A493" s="328" t="s">
        <v>113</v>
      </c>
      <c r="B493" s="315" t="s">
        <v>36</v>
      </c>
      <c r="C493" s="316" t="s">
        <v>182</v>
      </c>
      <c r="D493" s="31">
        <v>130040670039455</v>
      </c>
      <c r="E493" s="315" t="s">
        <v>0</v>
      </c>
      <c r="F493" s="315" t="s">
        <v>183</v>
      </c>
      <c r="G493" s="317" t="s">
        <v>76</v>
      </c>
      <c r="H493" s="317">
        <v>2024</v>
      </c>
      <c r="I493" s="334">
        <v>11</v>
      </c>
      <c r="J493" s="338">
        <v>45629</v>
      </c>
      <c r="K493" s="318" t="s">
        <v>38</v>
      </c>
      <c r="L493" s="402">
        <v>6.5299999999999997E-2</v>
      </c>
      <c r="M493" s="402">
        <v>7.5899999999999995E-2</v>
      </c>
      <c r="N493" s="402">
        <v>1.06E-2</v>
      </c>
      <c r="O493" s="396" t="s">
        <v>154</v>
      </c>
      <c r="P493" s="378">
        <v>1</v>
      </c>
      <c r="Q493" s="379" t="s">
        <v>184</v>
      </c>
      <c r="R493" s="343">
        <v>1449196</v>
      </c>
      <c r="S493" s="320">
        <f t="shared" ref="S493:S498" si="231">R493+S466</f>
        <v>20790272</v>
      </c>
      <c r="T493" s="388">
        <v>1020000</v>
      </c>
      <c r="U493" s="388">
        <v>808495</v>
      </c>
      <c r="V493" s="315" t="s">
        <v>156</v>
      </c>
      <c r="W493" s="22" t="s">
        <v>78</v>
      </c>
      <c r="X493" s="315">
        <v>1.33</v>
      </c>
      <c r="Y493" s="315" t="s">
        <v>157</v>
      </c>
      <c r="Z493" s="315"/>
      <c r="AA493" s="315" t="s">
        <v>38</v>
      </c>
      <c r="AB493" s="393">
        <f t="shared" si="229"/>
        <v>109993.9764</v>
      </c>
      <c r="AC493" s="315" t="s">
        <v>38</v>
      </c>
      <c r="AD493" s="331">
        <v>814</v>
      </c>
      <c r="AE493" s="315" t="s">
        <v>38</v>
      </c>
      <c r="AF493" s="309" t="s">
        <v>38</v>
      </c>
    </row>
    <row r="494" spans="1:32" s="11" customFormat="1" ht="15.75" customHeight="1">
      <c r="A494" s="328" t="s">
        <v>113</v>
      </c>
      <c r="B494" s="315" t="s">
        <v>36</v>
      </c>
      <c r="C494" s="316" t="s">
        <v>185</v>
      </c>
      <c r="D494" s="31">
        <v>130040670023906</v>
      </c>
      <c r="E494" s="315" t="s">
        <v>0</v>
      </c>
      <c r="F494" s="315" t="s">
        <v>128</v>
      </c>
      <c r="G494" s="317" t="s">
        <v>76</v>
      </c>
      <c r="H494" s="317">
        <v>2024</v>
      </c>
      <c r="I494" s="334">
        <v>11</v>
      </c>
      <c r="J494" s="338">
        <v>45629</v>
      </c>
      <c r="K494" s="318" t="s">
        <v>38</v>
      </c>
      <c r="L494" s="402">
        <v>3.9300000000000002E-2</v>
      </c>
      <c r="M494" s="402">
        <v>4.6699999999999998E-2</v>
      </c>
      <c r="N494" s="402">
        <v>7.4000000000000003E-3</v>
      </c>
      <c r="O494" s="396" t="s">
        <v>154</v>
      </c>
      <c r="P494" s="378">
        <v>1</v>
      </c>
      <c r="Q494" s="379" t="s">
        <v>186</v>
      </c>
      <c r="R494" s="344">
        <v>1094916</v>
      </c>
      <c r="S494" s="320">
        <f t="shared" si="231"/>
        <v>8066916</v>
      </c>
      <c r="T494" s="388">
        <v>355000</v>
      </c>
      <c r="U494" s="388">
        <v>298735</v>
      </c>
      <c r="V494" s="315" t="s">
        <v>171</v>
      </c>
      <c r="W494" s="22" t="s">
        <v>78</v>
      </c>
      <c r="X494" s="315">
        <v>0.36</v>
      </c>
      <c r="Y494" s="315" t="s">
        <v>172</v>
      </c>
      <c r="Z494" s="315"/>
      <c r="AA494" s="315" t="s">
        <v>38</v>
      </c>
      <c r="AB494" s="393">
        <f t="shared" si="229"/>
        <v>51132.5772</v>
      </c>
      <c r="AC494" s="315" t="s">
        <v>38</v>
      </c>
      <c r="AD494" s="331">
        <v>227</v>
      </c>
      <c r="AE494" s="315" t="s">
        <v>38</v>
      </c>
      <c r="AF494" s="309" t="s">
        <v>38</v>
      </c>
    </row>
    <row r="495" spans="1:32" s="11" customFormat="1" ht="15.75" customHeight="1">
      <c r="A495" s="328" t="s">
        <v>113</v>
      </c>
      <c r="B495" s="315" t="s">
        <v>36</v>
      </c>
      <c r="C495" s="316" t="s">
        <v>152</v>
      </c>
      <c r="D495" s="31">
        <v>130040670023899</v>
      </c>
      <c r="E495" s="315" t="s">
        <v>0</v>
      </c>
      <c r="F495" s="315" t="s">
        <v>128</v>
      </c>
      <c r="G495" s="317" t="s">
        <v>76</v>
      </c>
      <c r="H495" s="317">
        <v>2024</v>
      </c>
      <c r="I495" s="334">
        <v>11</v>
      </c>
      <c r="J495" s="338">
        <v>45629</v>
      </c>
      <c r="K495" s="318" t="s">
        <v>38</v>
      </c>
      <c r="L495" s="402">
        <v>0.12970000000000001</v>
      </c>
      <c r="M495" s="402">
        <v>0.15260000000000001</v>
      </c>
      <c r="N495" s="402">
        <v>2.29E-2</v>
      </c>
      <c r="O495" s="396" t="s">
        <v>154</v>
      </c>
      <c r="P495" s="378">
        <v>1</v>
      </c>
      <c r="Q495" s="379" t="s">
        <v>155</v>
      </c>
      <c r="R495" s="345">
        <v>1166821</v>
      </c>
      <c r="S495" s="320">
        <f t="shared" si="231"/>
        <v>8311020</v>
      </c>
      <c r="T495" s="388">
        <v>1100000</v>
      </c>
      <c r="U495" s="388">
        <v>927254</v>
      </c>
      <c r="V495" s="315" t="s">
        <v>156</v>
      </c>
      <c r="W495" s="22" t="s">
        <v>78</v>
      </c>
      <c r="X495" s="315">
        <v>2.7</v>
      </c>
      <c r="Y495" s="315" t="s">
        <v>157</v>
      </c>
      <c r="Z495" s="315"/>
      <c r="AA495" s="315" t="s">
        <v>38</v>
      </c>
      <c r="AB495" s="393">
        <f t="shared" si="229"/>
        <v>178056.88460000002</v>
      </c>
      <c r="AC495" s="315" t="s">
        <v>38</v>
      </c>
      <c r="AD495" s="330">
        <v>1078</v>
      </c>
      <c r="AE495" s="315" t="s">
        <v>38</v>
      </c>
      <c r="AF495" s="309" t="s">
        <v>38</v>
      </c>
    </row>
    <row r="496" spans="1:32" s="11" customFormat="1" ht="15.75" customHeight="1">
      <c r="A496" s="328" t="s">
        <v>113</v>
      </c>
      <c r="B496" s="315" t="s">
        <v>36</v>
      </c>
      <c r="C496" s="316" t="s">
        <v>187</v>
      </c>
      <c r="D496" s="31">
        <v>130040670039442</v>
      </c>
      <c r="E496" s="315" t="s">
        <v>0</v>
      </c>
      <c r="F496" s="315" t="s">
        <v>183</v>
      </c>
      <c r="G496" s="317" t="s">
        <v>76</v>
      </c>
      <c r="H496" s="317">
        <v>2024</v>
      </c>
      <c r="I496" s="334">
        <v>11</v>
      </c>
      <c r="J496" s="338">
        <v>45629</v>
      </c>
      <c r="K496" s="318" t="s">
        <v>38</v>
      </c>
      <c r="L496" s="402">
        <v>6.6699999999999995E-2</v>
      </c>
      <c r="M496" s="402">
        <v>7.7299999999999994E-2</v>
      </c>
      <c r="N496" s="402">
        <v>1.06E-2</v>
      </c>
      <c r="O496" s="396" t="s">
        <v>154</v>
      </c>
      <c r="P496" s="378">
        <v>1</v>
      </c>
      <c r="Q496" s="379" t="s">
        <v>188</v>
      </c>
      <c r="R496" s="343">
        <v>1333837</v>
      </c>
      <c r="S496" s="320">
        <f t="shared" si="231"/>
        <v>20701802</v>
      </c>
      <c r="T496" s="388">
        <v>1020000</v>
      </c>
      <c r="U496" s="388">
        <v>806905</v>
      </c>
      <c r="V496" s="315" t="s">
        <v>156</v>
      </c>
      <c r="W496" s="22" t="s">
        <v>78</v>
      </c>
      <c r="X496" s="315">
        <v>1.39</v>
      </c>
      <c r="Y496" s="315" t="s">
        <v>157</v>
      </c>
      <c r="Z496" s="315"/>
      <c r="AA496" s="315" t="s">
        <v>38</v>
      </c>
      <c r="AB496" s="393">
        <f t="shared" si="229"/>
        <v>103105.6001</v>
      </c>
      <c r="AC496" s="315" t="s">
        <v>38</v>
      </c>
      <c r="AD496" s="330">
        <v>1022</v>
      </c>
      <c r="AE496" s="315" t="s">
        <v>38</v>
      </c>
      <c r="AF496" s="309" t="s">
        <v>38</v>
      </c>
    </row>
    <row r="497" spans="1:32" s="11" customFormat="1" ht="15.75" customHeight="1">
      <c r="A497" s="328" t="s">
        <v>113</v>
      </c>
      <c r="B497" s="315" t="s">
        <v>36</v>
      </c>
      <c r="C497" s="316" t="s">
        <v>158</v>
      </c>
      <c r="D497" s="31">
        <v>130040670023900</v>
      </c>
      <c r="E497" s="315" t="s">
        <v>0</v>
      </c>
      <c r="F497" s="315" t="s">
        <v>128</v>
      </c>
      <c r="G497" s="317" t="s">
        <v>76</v>
      </c>
      <c r="H497" s="317">
        <v>2024</v>
      </c>
      <c r="I497" s="334">
        <v>11</v>
      </c>
      <c r="J497" s="338">
        <v>45629</v>
      </c>
      <c r="K497" s="318" t="s">
        <v>38</v>
      </c>
      <c r="L497" s="402">
        <v>0.1128</v>
      </c>
      <c r="M497" s="402">
        <v>0.1336</v>
      </c>
      <c r="N497" s="402">
        <v>2.0799999999999999E-2</v>
      </c>
      <c r="O497" s="396" t="s">
        <v>154</v>
      </c>
      <c r="P497" s="378">
        <v>1</v>
      </c>
      <c r="Q497" s="379" t="s">
        <v>189</v>
      </c>
      <c r="R497" s="345">
        <v>1167375</v>
      </c>
      <c r="S497" s="320">
        <f t="shared" si="231"/>
        <v>8325789</v>
      </c>
      <c r="T497" s="388">
        <v>999000</v>
      </c>
      <c r="U497" s="388">
        <v>839073</v>
      </c>
      <c r="V497" s="315" t="s">
        <v>156</v>
      </c>
      <c r="W497" s="22" t="s">
        <v>78</v>
      </c>
      <c r="X497" s="315">
        <v>1.5</v>
      </c>
      <c r="Y497" s="315" t="s">
        <v>157</v>
      </c>
      <c r="Z497" s="315"/>
      <c r="AA497" s="315" t="s">
        <v>38</v>
      </c>
      <c r="AB497" s="393">
        <f t="shared" si="229"/>
        <v>155961.29999999999</v>
      </c>
      <c r="AC497" s="315" t="s">
        <v>38</v>
      </c>
      <c r="AD497" s="331">
        <v>796</v>
      </c>
      <c r="AE497" s="315" t="s">
        <v>38</v>
      </c>
      <c r="AF497" s="309" t="s">
        <v>38</v>
      </c>
    </row>
    <row r="498" spans="1:32" s="11" customFormat="1" ht="15.75" customHeight="1">
      <c r="A498" s="328" t="s">
        <v>113</v>
      </c>
      <c r="B498" s="315" t="s">
        <v>36</v>
      </c>
      <c r="C498" s="316" t="s">
        <v>190</v>
      </c>
      <c r="D498" s="31">
        <v>130040670017669</v>
      </c>
      <c r="E498" s="315" t="s">
        <v>0</v>
      </c>
      <c r="F498" s="315" t="s">
        <v>191</v>
      </c>
      <c r="G498" s="317" t="s">
        <v>76</v>
      </c>
      <c r="H498" s="317">
        <v>2024</v>
      </c>
      <c r="I498" s="334">
        <v>11</v>
      </c>
      <c r="J498" s="338">
        <v>45629</v>
      </c>
      <c r="K498" s="318" t="s">
        <v>38</v>
      </c>
      <c r="L498" s="402">
        <v>6.1499999999999999E-2</v>
      </c>
      <c r="M498" s="402">
        <v>6.9400000000000003E-2</v>
      </c>
      <c r="N498" s="402">
        <v>7.9000000000000008E-3</v>
      </c>
      <c r="O498" s="396" t="s">
        <v>154</v>
      </c>
      <c r="P498" s="378">
        <v>1</v>
      </c>
      <c r="Q498" s="379" t="s">
        <v>192</v>
      </c>
      <c r="R498" s="343">
        <v>2228914</v>
      </c>
      <c r="S498" s="320">
        <f t="shared" si="231"/>
        <v>27213994</v>
      </c>
      <c r="T498" s="388">
        <v>760000</v>
      </c>
      <c r="U498" s="388">
        <v>558047</v>
      </c>
      <c r="V498" s="315" t="s">
        <v>156</v>
      </c>
      <c r="W498" s="22" t="s">
        <v>78</v>
      </c>
      <c r="X498" s="315">
        <v>1.1000000000000001</v>
      </c>
      <c r="Y498" s="315" t="s">
        <v>157</v>
      </c>
      <c r="Z498" s="315"/>
      <c r="AA498" s="315" t="s">
        <v>38</v>
      </c>
      <c r="AB498" s="393">
        <f t="shared" si="229"/>
        <v>154686.63159999999</v>
      </c>
      <c r="AC498" s="315" t="s">
        <v>38</v>
      </c>
      <c r="AD498" s="331">
        <v>636</v>
      </c>
      <c r="AE498" s="315" t="s">
        <v>38</v>
      </c>
      <c r="AF498" s="309" t="s">
        <v>38</v>
      </c>
    </row>
    <row r="499" spans="1:32" s="11" customFormat="1" ht="15.75" customHeight="1">
      <c r="A499" s="328" t="s">
        <v>106</v>
      </c>
      <c r="B499" s="315" t="s">
        <v>36</v>
      </c>
      <c r="C499" s="316" t="s">
        <v>147</v>
      </c>
      <c r="D499" s="31">
        <v>130040670018928</v>
      </c>
      <c r="E499" s="315" t="s">
        <v>0</v>
      </c>
      <c r="F499" s="315" t="s">
        <v>113</v>
      </c>
      <c r="G499" s="317" t="s">
        <v>76</v>
      </c>
      <c r="H499" s="317">
        <v>2024</v>
      </c>
      <c r="I499" s="334">
        <v>11</v>
      </c>
      <c r="J499" s="338">
        <v>45629</v>
      </c>
      <c r="K499" s="318" t="s">
        <v>38</v>
      </c>
      <c r="L499" s="402">
        <v>0.31</v>
      </c>
      <c r="M499" s="402">
        <v>0.34499999999999997</v>
      </c>
      <c r="N499" s="402">
        <v>3.5000000000000003E-2</v>
      </c>
      <c r="O499" s="396" t="s">
        <v>154</v>
      </c>
      <c r="P499" s="378">
        <v>1</v>
      </c>
      <c r="Q499" s="379" t="s">
        <v>193</v>
      </c>
      <c r="R499" s="345">
        <v>1416699</v>
      </c>
      <c r="S499" s="320">
        <f t="shared" ref="S499:S504" si="232">R499+S460</f>
        <v>17856836</v>
      </c>
      <c r="T499" s="388">
        <v>4200000</v>
      </c>
      <c r="U499" s="388">
        <v>3596003</v>
      </c>
      <c r="V499" s="315" t="s">
        <v>150</v>
      </c>
      <c r="W499" s="22" t="s">
        <v>78</v>
      </c>
      <c r="X499" s="315">
        <v>6.2</v>
      </c>
      <c r="Y499" s="315" t="s">
        <v>151</v>
      </c>
      <c r="Z499" s="315"/>
      <c r="AA499" s="315" t="s">
        <v>38</v>
      </c>
      <c r="AB499" s="393">
        <f t="shared" si="229"/>
        <v>488761.15499999997</v>
      </c>
      <c r="AC499" s="315" t="s">
        <v>38</v>
      </c>
      <c r="AD499" s="330">
        <v>5065</v>
      </c>
      <c r="AE499" s="315" t="s">
        <v>38</v>
      </c>
      <c r="AF499" s="323" t="s">
        <v>38</v>
      </c>
    </row>
    <row r="500" spans="1:32" s="11" customFormat="1" ht="15.75" customHeight="1">
      <c r="A500" s="328" t="s">
        <v>106</v>
      </c>
      <c r="B500" s="315" t="s">
        <v>36</v>
      </c>
      <c r="C500" s="316" t="s">
        <v>158</v>
      </c>
      <c r="D500" s="31">
        <v>130040670018919</v>
      </c>
      <c r="E500" s="315" t="s">
        <v>0</v>
      </c>
      <c r="F500" s="315" t="s">
        <v>128</v>
      </c>
      <c r="G500" s="317" t="s">
        <v>76</v>
      </c>
      <c r="H500" s="317">
        <v>2024</v>
      </c>
      <c r="I500" s="334">
        <v>11</v>
      </c>
      <c r="J500" s="338">
        <v>45629</v>
      </c>
      <c r="K500" s="318" t="s">
        <v>38</v>
      </c>
      <c r="L500" s="402">
        <v>0.128</v>
      </c>
      <c r="M500" s="402">
        <v>0.1457</v>
      </c>
      <c r="N500" s="402">
        <v>1.77E-2</v>
      </c>
      <c r="O500" s="396" t="s">
        <v>154</v>
      </c>
      <c r="P500" s="378">
        <v>1</v>
      </c>
      <c r="Q500" s="379" t="s">
        <v>194</v>
      </c>
      <c r="R500" s="345">
        <v>345958</v>
      </c>
      <c r="S500" s="320">
        <f t="shared" si="232"/>
        <v>9644525</v>
      </c>
      <c r="T500" s="388">
        <v>1700000</v>
      </c>
      <c r="U500" s="388">
        <v>1531332</v>
      </c>
      <c r="V500" s="315" t="s">
        <v>150</v>
      </c>
      <c r="W500" s="22" t="s">
        <v>78</v>
      </c>
      <c r="X500" s="315">
        <v>3.55</v>
      </c>
      <c r="Y500" s="315" t="s">
        <v>151</v>
      </c>
      <c r="Z500" s="315"/>
      <c r="AA500" s="315" t="s">
        <v>38</v>
      </c>
      <c r="AB500" s="393">
        <f t="shared" si="229"/>
        <v>50406.080600000001</v>
      </c>
      <c r="AC500" s="315" t="s">
        <v>38</v>
      </c>
      <c r="AD500" s="331">
        <v>819</v>
      </c>
      <c r="AE500" s="315" t="s">
        <v>38</v>
      </c>
      <c r="AF500" s="323" t="s">
        <v>38</v>
      </c>
    </row>
    <row r="501" spans="1:32" s="11" customFormat="1" ht="15.75" customHeight="1">
      <c r="A501" s="328" t="s">
        <v>106</v>
      </c>
      <c r="B501" s="315" t="s">
        <v>36</v>
      </c>
      <c r="C501" s="316" t="s">
        <v>195</v>
      </c>
      <c r="D501" s="31">
        <v>130040670027765</v>
      </c>
      <c r="E501" s="315" t="s">
        <v>0</v>
      </c>
      <c r="F501" s="315" t="s">
        <v>124</v>
      </c>
      <c r="G501" s="317" t="s">
        <v>76</v>
      </c>
      <c r="H501" s="317">
        <v>2024</v>
      </c>
      <c r="I501" s="334">
        <v>11</v>
      </c>
      <c r="J501" s="338">
        <v>45629</v>
      </c>
      <c r="K501" s="318" t="s">
        <v>38</v>
      </c>
      <c r="L501" s="402">
        <v>3.2000000000000001E-2</v>
      </c>
      <c r="M501" s="402">
        <v>3.9899999999999998E-2</v>
      </c>
      <c r="N501" s="402">
        <v>7.9000000000000008E-3</v>
      </c>
      <c r="O501" s="396" t="s">
        <v>154</v>
      </c>
      <c r="P501" s="378">
        <v>1</v>
      </c>
      <c r="Q501" s="379" t="s">
        <v>196</v>
      </c>
      <c r="R501" s="423">
        <v>4311745</v>
      </c>
      <c r="S501" s="320">
        <f t="shared" si="232"/>
        <v>53483278</v>
      </c>
      <c r="T501" s="388">
        <v>1520000</v>
      </c>
      <c r="U501" s="388">
        <v>1103425</v>
      </c>
      <c r="V501" s="315" t="s">
        <v>150</v>
      </c>
      <c r="W501" s="22" t="s">
        <v>78</v>
      </c>
      <c r="X501" s="315">
        <v>0.56999999999999995</v>
      </c>
      <c r="Y501" s="315" t="s">
        <v>151</v>
      </c>
      <c r="Z501" s="315"/>
      <c r="AA501" s="315" t="s">
        <v>38</v>
      </c>
      <c r="AB501" s="393">
        <f t="shared" si="229"/>
        <v>172038.62549999999</v>
      </c>
      <c r="AC501" s="315" t="s">
        <v>38</v>
      </c>
      <c r="AD501" s="330">
        <v>2029</v>
      </c>
      <c r="AE501" s="315" t="s">
        <v>38</v>
      </c>
      <c r="AF501" s="323" t="s">
        <v>38</v>
      </c>
    </row>
    <row r="502" spans="1:32" s="11" customFormat="1" ht="15.75" customHeight="1">
      <c r="A502" s="328" t="s">
        <v>106</v>
      </c>
      <c r="B502" s="315" t="s">
        <v>36</v>
      </c>
      <c r="C502" s="316" t="s">
        <v>162</v>
      </c>
      <c r="D502" s="31">
        <v>130040670018929</v>
      </c>
      <c r="E502" s="315" t="s">
        <v>0</v>
      </c>
      <c r="F502" s="315" t="s">
        <v>113</v>
      </c>
      <c r="G502" s="317" t="s">
        <v>76</v>
      </c>
      <c r="H502" s="317">
        <v>2024</v>
      </c>
      <c r="I502" s="334">
        <v>11</v>
      </c>
      <c r="J502" s="338">
        <v>45629</v>
      </c>
      <c r="K502" s="318" t="s">
        <v>38</v>
      </c>
      <c r="L502" s="402">
        <v>5.3999999999999999E-2</v>
      </c>
      <c r="M502" s="402">
        <v>6.3399999999999998E-2</v>
      </c>
      <c r="N502" s="402">
        <v>9.4000000000000004E-3</v>
      </c>
      <c r="O502" s="396" t="s">
        <v>154</v>
      </c>
      <c r="P502" s="378">
        <v>1</v>
      </c>
      <c r="Q502" s="379" t="s">
        <v>197</v>
      </c>
      <c r="R502" s="345">
        <v>1545000</v>
      </c>
      <c r="S502" s="320">
        <f t="shared" si="232"/>
        <v>17747135</v>
      </c>
      <c r="T502" s="388">
        <v>902000</v>
      </c>
      <c r="U502" s="388">
        <v>739915</v>
      </c>
      <c r="V502" s="315" t="s">
        <v>150</v>
      </c>
      <c r="W502" s="22" t="s">
        <v>78</v>
      </c>
      <c r="X502" s="315">
        <v>0.65</v>
      </c>
      <c r="Y502" s="315" t="s">
        <v>151</v>
      </c>
      <c r="Z502" s="315"/>
      <c r="AA502" s="315" t="s">
        <v>38</v>
      </c>
      <c r="AB502" s="393">
        <f t="shared" si="229"/>
        <v>97953</v>
      </c>
      <c r="AC502" s="315" t="s">
        <v>38</v>
      </c>
      <c r="AD502" s="331">
        <v>677</v>
      </c>
      <c r="AE502" s="315" t="s">
        <v>38</v>
      </c>
      <c r="AF502" s="323" t="s">
        <v>38</v>
      </c>
    </row>
    <row r="503" spans="1:32" s="11" customFormat="1" ht="15.75" customHeight="1">
      <c r="A503" s="328" t="s">
        <v>106</v>
      </c>
      <c r="B503" s="315" t="s">
        <v>36</v>
      </c>
      <c r="C503" s="316" t="s">
        <v>160</v>
      </c>
      <c r="D503" s="31">
        <v>130040670018930</v>
      </c>
      <c r="E503" s="315" t="s">
        <v>0</v>
      </c>
      <c r="F503" s="315" t="s">
        <v>113</v>
      </c>
      <c r="G503" s="317" t="s">
        <v>76</v>
      </c>
      <c r="H503" s="317">
        <v>2024</v>
      </c>
      <c r="I503" s="334">
        <v>11</v>
      </c>
      <c r="J503" s="338">
        <v>45629</v>
      </c>
      <c r="K503" s="318" t="s">
        <v>38</v>
      </c>
      <c r="L503" s="402">
        <v>0.08</v>
      </c>
      <c r="M503" s="402">
        <v>9.0700000000000003E-2</v>
      </c>
      <c r="N503" s="402">
        <v>1.0699999999999999E-2</v>
      </c>
      <c r="O503" s="396" t="s">
        <v>154</v>
      </c>
      <c r="P503" s="378">
        <v>1</v>
      </c>
      <c r="Q503" s="379" t="s">
        <v>198</v>
      </c>
      <c r="R503" s="345">
        <v>1543000</v>
      </c>
      <c r="S503" s="320">
        <f t="shared" si="232"/>
        <v>17938000</v>
      </c>
      <c r="T503" s="388">
        <v>1028000</v>
      </c>
      <c r="U503" s="388">
        <v>841456</v>
      </c>
      <c r="V503" s="315" t="s">
        <v>150</v>
      </c>
      <c r="W503" s="22" t="s">
        <v>78</v>
      </c>
      <c r="X503" s="315">
        <v>1.2</v>
      </c>
      <c r="Y503" s="315" t="s">
        <v>151</v>
      </c>
      <c r="Z503" s="315"/>
      <c r="AA503" s="315" t="s">
        <v>38</v>
      </c>
      <c r="AB503" s="393">
        <f t="shared" si="229"/>
        <v>139950.1</v>
      </c>
      <c r="AC503" s="315" t="s">
        <v>38</v>
      </c>
      <c r="AD503" s="330">
        <v>1247</v>
      </c>
      <c r="AE503" s="315" t="s">
        <v>38</v>
      </c>
      <c r="AF503" s="323" t="s">
        <v>38</v>
      </c>
    </row>
    <row r="504" spans="1:32" s="11" customFormat="1" ht="15.75" customHeight="1">
      <c r="A504" s="328" t="s">
        <v>106</v>
      </c>
      <c r="B504" s="315" t="s">
        <v>36</v>
      </c>
      <c r="C504" s="316" t="s">
        <v>199</v>
      </c>
      <c r="D504" s="31">
        <v>130040670018925</v>
      </c>
      <c r="E504" s="315" t="s">
        <v>0</v>
      </c>
      <c r="F504" s="315" t="s">
        <v>113</v>
      </c>
      <c r="G504" s="317" t="s">
        <v>76</v>
      </c>
      <c r="H504" s="317">
        <v>2024</v>
      </c>
      <c r="I504" s="334">
        <v>11</v>
      </c>
      <c r="J504" s="338">
        <v>45629</v>
      </c>
      <c r="K504" s="318" t="s">
        <v>38</v>
      </c>
      <c r="L504" s="402">
        <v>3.6999999999999998E-2</v>
      </c>
      <c r="M504" s="402">
        <v>4.24E-2</v>
      </c>
      <c r="N504" s="402">
        <v>5.4000000000000003E-3</v>
      </c>
      <c r="O504" s="396" t="s">
        <v>154</v>
      </c>
      <c r="P504" s="378">
        <v>1</v>
      </c>
      <c r="Q504" s="379" t="s">
        <v>200</v>
      </c>
      <c r="R504" s="345">
        <v>1542800</v>
      </c>
      <c r="S504" s="320">
        <f t="shared" si="232"/>
        <v>17640540</v>
      </c>
      <c r="T504" s="388">
        <v>514000</v>
      </c>
      <c r="U504" s="388">
        <v>421463</v>
      </c>
      <c r="V504" s="315" t="s">
        <v>150</v>
      </c>
      <c r="W504" s="22" t="s">
        <v>78</v>
      </c>
      <c r="X504" s="315">
        <v>0.9</v>
      </c>
      <c r="Y504" s="315" t="s">
        <v>151</v>
      </c>
      <c r="Z504" s="315"/>
      <c r="AA504" s="315" t="s">
        <v>38</v>
      </c>
      <c r="AB504" s="393">
        <f t="shared" si="229"/>
        <v>65414.720000000001</v>
      </c>
      <c r="AC504" s="315" t="s">
        <v>38</v>
      </c>
      <c r="AD504" s="331">
        <v>935</v>
      </c>
      <c r="AE504" s="315" t="s">
        <v>38</v>
      </c>
      <c r="AF504" s="323" t="s">
        <v>38</v>
      </c>
    </row>
    <row r="505" spans="1:32" s="11" customFormat="1" ht="15.75" customHeight="1">
      <c r="A505" s="328" t="s">
        <v>86</v>
      </c>
      <c r="B505" s="315" t="s">
        <v>36</v>
      </c>
      <c r="C505" s="316" t="s">
        <v>201</v>
      </c>
      <c r="D505" s="31">
        <v>310493191000</v>
      </c>
      <c r="E505" s="315" t="s">
        <v>0</v>
      </c>
      <c r="F505" s="315" t="s">
        <v>128</v>
      </c>
      <c r="G505" s="317" t="s">
        <v>76</v>
      </c>
      <c r="H505" s="317">
        <v>2024</v>
      </c>
      <c r="I505" s="334">
        <v>11</v>
      </c>
      <c r="J505" s="338">
        <v>45629</v>
      </c>
      <c r="K505" s="318" t="s">
        <v>38</v>
      </c>
      <c r="L505" s="402">
        <v>0.28620000000000001</v>
      </c>
      <c r="M505" s="402">
        <v>0.28620000000000001</v>
      </c>
      <c r="N505" s="402" t="s">
        <v>202</v>
      </c>
      <c r="O505" s="396" t="s">
        <v>154</v>
      </c>
      <c r="P505" s="378">
        <v>1</v>
      </c>
      <c r="Q505" s="379" t="s">
        <v>203</v>
      </c>
      <c r="R505" s="315">
        <v>0</v>
      </c>
      <c r="S505" s="320">
        <f>R505+S448</f>
        <v>48492176</v>
      </c>
      <c r="T505" s="388">
        <v>5970000</v>
      </c>
      <c r="U505" s="388">
        <v>5970000</v>
      </c>
      <c r="V505" s="319" t="s">
        <v>204</v>
      </c>
      <c r="W505" s="22" t="s">
        <v>78</v>
      </c>
      <c r="X505" s="315">
        <v>4.03</v>
      </c>
      <c r="Y505" s="315" t="s">
        <v>151</v>
      </c>
      <c r="Z505" s="315"/>
      <c r="AA505" s="315" t="s">
        <v>38</v>
      </c>
      <c r="AB505" s="393">
        <f t="shared" si="229"/>
        <v>0</v>
      </c>
      <c r="AC505" s="315" t="s">
        <v>38</v>
      </c>
      <c r="AD505" s="331" t="s">
        <v>164</v>
      </c>
      <c r="AE505" s="315" t="s">
        <v>38</v>
      </c>
      <c r="AF505" s="323" t="s">
        <v>38</v>
      </c>
    </row>
    <row r="506" spans="1:32" s="11" customFormat="1" ht="15.75" customHeight="1">
      <c r="A506" s="328" t="s">
        <v>86</v>
      </c>
      <c r="B506" s="315" t="s">
        <v>36</v>
      </c>
      <c r="C506" s="316" t="s">
        <v>205</v>
      </c>
      <c r="D506" s="31">
        <v>310493192000</v>
      </c>
      <c r="E506" s="315" t="s">
        <v>0</v>
      </c>
      <c r="F506" s="315" t="s">
        <v>128</v>
      </c>
      <c r="G506" s="317" t="s">
        <v>76</v>
      </c>
      <c r="H506" s="317">
        <v>2024</v>
      </c>
      <c r="I506" s="334">
        <v>11</v>
      </c>
      <c r="J506" s="338">
        <v>45629</v>
      </c>
      <c r="K506" s="318" t="s">
        <v>38</v>
      </c>
      <c r="L506" s="402">
        <v>4.5900000000000003E-2</v>
      </c>
      <c r="M506" s="402">
        <v>4.5900000000000003E-2</v>
      </c>
      <c r="N506" s="402" t="s">
        <v>202</v>
      </c>
      <c r="O506" s="396" t="s">
        <v>154</v>
      </c>
      <c r="P506" s="378">
        <v>1</v>
      </c>
      <c r="Q506" s="379" t="s">
        <v>206</v>
      </c>
      <c r="R506" s="315">
        <v>0</v>
      </c>
      <c r="S506" s="320">
        <f>R506+S449</f>
        <v>51213261</v>
      </c>
      <c r="T506" s="388">
        <v>2514000</v>
      </c>
      <c r="U506" s="388">
        <v>2514000</v>
      </c>
      <c r="V506" s="319" t="s">
        <v>204</v>
      </c>
      <c r="W506" s="22" t="s">
        <v>78</v>
      </c>
      <c r="X506" s="315">
        <v>0.43</v>
      </c>
      <c r="Y506" s="315" t="s">
        <v>151</v>
      </c>
      <c r="Z506" s="315"/>
      <c r="AA506" s="315" t="s">
        <v>38</v>
      </c>
      <c r="AB506" s="393">
        <f t="shared" si="229"/>
        <v>0</v>
      </c>
      <c r="AC506" s="315" t="s">
        <v>38</v>
      </c>
      <c r="AD506" s="331" t="s">
        <v>164</v>
      </c>
      <c r="AE506" s="315" t="s">
        <v>38</v>
      </c>
      <c r="AF506" s="323" t="s">
        <v>38</v>
      </c>
    </row>
    <row r="507" spans="1:32" s="11" customFormat="1" ht="15.75" customHeight="1">
      <c r="A507" s="328" t="s">
        <v>86</v>
      </c>
      <c r="B507" s="315" t="s">
        <v>36</v>
      </c>
      <c r="C507" s="316" t="s">
        <v>207</v>
      </c>
      <c r="D507" s="31">
        <v>310493193000</v>
      </c>
      <c r="E507" s="315" t="s">
        <v>0</v>
      </c>
      <c r="F507" s="315" t="s">
        <v>128</v>
      </c>
      <c r="G507" s="317" t="s">
        <v>76</v>
      </c>
      <c r="H507" s="317">
        <v>2024</v>
      </c>
      <c r="I507" s="334">
        <v>11</v>
      </c>
      <c r="J507" s="338">
        <v>45629</v>
      </c>
      <c r="K507" s="318" t="s">
        <v>38</v>
      </c>
      <c r="L507" s="402">
        <v>6.8099999999999994E-2</v>
      </c>
      <c r="M507" s="402">
        <v>6.8099999999999994E-2</v>
      </c>
      <c r="N507" s="402" t="s">
        <v>202</v>
      </c>
      <c r="O507" s="396" t="s">
        <v>154</v>
      </c>
      <c r="P507" s="378">
        <v>1</v>
      </c>
      <c r="Q507" s="379" t="s">
        <v>208</v>
      </c>
      <c r="R507" s="315">
        <v>0</v>
      </c>
      <c r="S507" s="320">
        <v>48387960</v>
      </c>
      <c r="T507" s="388">
        <v>2968000</v>
      </c>
      <c r="U507" s="388">
        <v>2968000</v>
      </c>
      <c r="V507" s="319" t="s">
        <v>204</v>
      </c>
      <c r="W507" s="22" t="s">
        <v>78</v>
      </c>
      <c r="X507" s="315">
        <v>0.6</v>
      </c>
      <c r="Y507" s="315" t="s">
        <v>151</v>
      </c>
      <c r="Z507" s="315"/>
      <c r="AA507" s="315" t="s">
        <v>38</v>
      </c>
      <c r="AB507" s="393">
        <f t="shared" si="229"/>
        <v>0</v>
      </c>
      <c r="AC507" s="315" t="s">
        <v>38</v>
      </c>
      <c r="AD507" s="331" t="s">
        <v>164</v>
      </c>
      <c r="AE507" s="315" t="s">
        <v>38</v>
      </c>
      <c r="AF507" s="323" t="s">
        <v>38</v>
      </c>
    </row>
    <row r="508" spans="1:32" s="11" customFormat="1" ht="15.75" customHeight="1">
      <c r="A508" s="328" t="s">
        <v>86</v>
      </c>
      <c r="B508" s="315" t="s">
        <v>36</v>
      </c>
      <c r="C508" s="316" t="s">
        <v>209</v>
      </c>
      <c r="D508" s="31">
        <v>310493194000</v>
      </c>
      <c r="E508" s="315" t="s">
        <v>0</v>
      </c>
      <c r="F508" s="315" t="s">
        <v>128</v>
      </c>
      <c r="G508" s="317" t="s">
        <v>76</v>
      </c>
      <c r="H508" s="317">
        <v>2024</v>
      </c>
      <c r="I508" s="334">
        <v>11</v>
      </c>
      <c r="J508" s="338">
        <v>45629</v>
      </c>
      <c r="K508" s="318" t="s">
        <v>38</v>
      </c>
      <c r="L508" s="402">
        <v>7.0999999999999994E-2</v>
      </c>
      <c r="M508" s="402">
        <v>7.0999999999999994E-2</v>
      </c>
      <c r="N508" s="402" t="s">
        <v>202</v>
      </c>
      <c r="O508" s="396" t="s">
        <v>154</v>
      </c>
      <c r="P508" s="378">
        <v>1</v>
      </c>
      <c r="Q508" s="379" t="s">
        <v>210</v>
      </c>
      <c r="R508" s="320">
        <v>50400</v>
      </c>
      <c r="S508" s="320">
        <f>R508+S451</f>
        <v>64414729</v>
      </c>
      <c r="T508" s="388">
        <v>3400000</v>
      </c>
      <c r="U508" s="388">
        <v>3400000</v>
      </c>
      <c r="V508" s="324" t="s">
        <v>92</v>
      </c>
      <c r="W508" s="22" t="s">
        <v>78</v>
      </c>
      <c r="X508" s="315">
        <v>1</v>
      </c>
      <c r="Y508" s="315" t="s">
        <v>157</v>
      </c>
      <c r="Z508" s="315"/>
      <c r="AA508" s="315" t="s">
        <v>38</v>
      </c>
      <c r="AB508" s="393">
        <f t="shared" si="229"/>
        <v>3578.3999999999996</v>
      </c>
      <c r="AC508" s="315" t="s">
        <v>38</v>
      </c>
      <c r="AD508" s="331">
        <v>50</v>
      </c>
      <c r="AE508" s="315" t="s">
        <v>211</v>
      </c>
      <c r="AF508" s="323" t="s">
        <v>38</v>
      </c>
    </row>
    <row r="509" spans="1:32" s="11" customFormat="1" ht="15.75" customHeight="1">
      <c r="A509" s="328" t="s">
        <v>86</v>
      </c>
      <c r="B509" s="315" t="s">
        <v>36</v>
      </c>
      <c r="C509" s="316" t="s">
        <v>212</v>
      </c>
      <c r="D509" s="262">
        <v>310493196000</v>
      </c>
      <c r="E509" s="315" t="s">
        <v>0</v>
      </c>
      <c r="F509" s="315" t="s">
        <v>128</v>
      </c>
      <c r="G509" s="317" t="s">
        <v>76</v>
      </c>
      <c r="H509" s="317">
        <v>2024</v>
      </c>
      <c r="I509" s="334">
        <v>11</v>
      </c>
      <c r="J509" s="338">
        <v>45629</v>
      </c>
      <c r="K509" s="318" t="s">
        <v>38</v>
      </c>
      <c r="L509" s="402">
        <v>4.1200000000000001E-2</v>
      </c>
      <c r="M509" s="402">
        <v>4.1200000000000001E-2</v>
      </c>
      <c r="N509" s="402" t="s">
        <v>202</v>
      </c>
      <c r="O509" s="396" t="s">
        <v>154</v>
      </c>
      <c r="P509" s="378">
        <v>1</v>
      </c>
      <c r="Q509" s="379" t="s">
        <v>213</v>
      </c>
      <c r="R509" s="320">
        <v>50000</v>
      </c>
      <c r="S509" s="320">
        <f>R509+S452</f>
        <v>35511006</v>
      </c>
      <c r="T509" s="388">
        <v>1650000</v>
      </c>
      <c r="U509" s="388">
        <v>1650000</v>
      </c>
      <c r="V509" s="324" t="s">
        <v>92</v>
      </c>
      <c r="W509" s="22" t="s">
        <v>78</v>
      </c>
      <c r="X509" s="315">
        <v>0.47</v>
      </c>
      <c r="Y509" s="315" t="s">
        <v>157</v>
      </c>
      <c r="Z509" s="315"/>
      <c r="AA509" s="315" t="s">
        <v>38</v>
      </c>
      <c r="AB509" s="393">
        <f t="shared" si="229"/>
        <v>2060</v>
      </c>
      <c r="AC509" s="315" t="s">
        <v>38</v>
      </c>
      <c r="AD509" s="331">
        <v>24</v>
      </c>
      <c r="AE509" s="315" t="s">
        <v>38</v>
      </c>
      <c r="AF509" s="323" t="s">
        <v>38</v>
      </c>
    </row>
    <row r="510" spans="1:32" s="11" customFormat="1" ht="15.75" customHeight="1">
      <c r="A510" s="328" t="s">
        <v>18</v>
      </c>
      <c r="B510" s="315" t="s">
        <v>34</v>
      </c>
      <c r="C510" s="315" t="s">
        <v>147</v>
      </c>
      <c r="D510" s="31">
        <v>130040670029868</v>
      </c>
      <c r="E510" s="315" t="s">
        <v>0</v>
      </c>
      <c r="F510" s="315" t="s">
        <v>128</v>
      </c>
      <c r="G510" s="317" t="s">
        <v>76</v>
      </c>
      <c r="H510" s="317">
        <v>2024</v>
      </c>
      <c r="I510" s="334">
        <v>11</v>
      </c>
      <c r="J510" s="338">
        <v>45629</v>
      </c>
      <c r="K510" s="318" t="s">
        <v>38</v>
      </c>
      <c r="L510" s="402">
        <v>0.1802</v>
      </c>
      <c r="M510" s="402">
        <v>0.21870000000000001</v>
      </c>
      <c r="N510" s="402">
        <v>3.3099999999999997E-2</v>
      </c>
      <c r="O510" s="396" t="s">
        <v>154</v>
      </c>
      <c r="P510" s="378">
        <v>1</v>
      </c>
      <c r="Q510" s="379" t="s">
        <v>214</v>
      </c>
      <c r="R510" s="320">
        <v>8003087</v>
      </c>
      <c r="S510" s="320">
        <f>R510+S445</f>
        <v>80229926</v>
      </c>
      <c r="T510" s="389">
        <v>8913207</v>
      </c>
      <c r="U510" s="389">
        <v>6352748</v>
      </c>
      <c r="V510" s="315" t="s">
        <v>167</v>
      </c>
      <c r="W510" s="22" t="s">
        <v>78</v>
      </c>
      <c r="X510" s="315">
        <v>3.8</v>
      </c>
      <c r="Y510" s="321" t="s">
        <v>168</v>
      </c>
      <c r="Z510" s="321"/>
      <c r="AA510" s="315" t="s">
        <v>38</v>
      </c>
      <c r="AB510" s="393">
        <f t="shared" ref="AB510:AB546" si="233">M510*R510</f>
        <v>1750275.1269</v>
      </c>
      <c r="AC510" s="315" t="s">
        <v>38</v>
      </c>
      <c r="AD510" s="330">
        <v>30412</v>
      </c>
      <c r="AE510" s="315" t="s">
        <v>38</v>
      </c>
      <c r="AF510" s="323" t="s">
        <v>38</v>
      </c>
    </row>
    <row r="511" spans="1:32" s="11" customFormat="1" ht="15.75" customHeight="1">
      <c r="A511" s="328" t="s">
        <v>18</v>
      </c>
      <c r="B511" s="315" t="s">
        <v>34</v>
      </c>
      <c r="C511" s="316" t="s">
        <v>215</v>
      </c>
      <c r="D511" s="31">
        <v>130040670020898</v>
      </c>
      <c r="E511" s="315" t="s">
        <v>0</v>
      </c>
      <c r="F511" s="315" t="s">
        <v>128</v>
      </c>
      <c r="G511" s="317" t="s">
        <v>76</v>
      </c>
      <c r="H511" s="317">
        <v>2024</v>
      </c>
      <c r="I511" s="334">
        <v>11</v>
      </c>
      <c r="J511" s="338">
        <v>45629</v>
      </c>
      <c r="K511" s="318" t="s">
        <v>38</v>
      </c>
      <c r="L511" s="402">
        <v>5.0299999999999997E-2</v>
      </c>
      <c r="M511" s="402">
        <v>7.4499999999999997E-2</v>
      </c>
      <c r="N511" s="402">
        <v>2.4199999999999999E-2</v>
      </c>
      <c r="O511" s="396" t="s">
        <v>154</v>
      </c>
      <c r="P511" s="378">
        <v>1</v>
      </c>
      <c r="Q511" s="379" t="s">
        <v>216</v>
      </c>
      <c r="R511" s="320">
        <v>10392000</v>
      </c>
      <c r="S511" s="320">
        <f>R511+S446</f>
        <v>87838402</v>
      </c>
      <c r="T511" s="389">
        <v>5799197</v>
      </c>
      <c r="U511" s="389">
        <v>3821225</v>
      </c>
      <c r="V511" s="315" t="s">
        <v>150</v>
      </c>
      <c r="W511" s="22" t="s">
        <v>78</v>
      </c>
      <c r="X511" s="315">
        <v>0.24</v>
      </c>
      <c r="Y511" s="315" t="s">
        <v>151</v>
      </c>
      <c r="Z511" s="315"/>
      <c r="AA511" s="315" t="s">
        <v>38</v>
      </c>
      <c r="AB511" s="393">
        <f t="shared" si="233"/>
        <v>774204</v>
      </c>
      <c r="AC511" s="315" t="s">
        <v>38</v>
      </c>
      <c r="AD511" s="330">
        <v>2494</v>
      </c>
      <c r="AE511" s="315" t="s">
        <v>38</v>
      </c>
      <c r="AF511" s="323" t="s">
        <v>38</v>
      </c>
    </row>
    <row r="512" spans="1:32" s="11" customFormat="1" ht="15.75" customHeight="1">
      <c r="A512" s="328" t="s">
        <v>18</v>
      </c>
      <c r="B512" s="315" t="s">
        <v>34</v>
      </c>
      <c r="C512" s="316" t="s">
        <v>162</v>
      </c>
      <c r="D512" s="31">
        <v>130040670020899</v>
      </c>
      <c r="E512" s="315" t="s">
        <v>0</v>
      </c>
      <c r="F512" s="315" t="s">
        <v>128</v>
      </c>
      <c r="G512" s="317" t="s">
        <v>76</v>
      </c>
      <c r="H512" s="317">
        <v>2024</v>
      </c>
      <c r="I512" s="334">
        <v>11</v>
      </c>
      <c r="J512" s="338">
        <v>45629</v>
      </c>
      <c r="K512" s="318" t="s">
        <v>38</v>
      </c>
      <c r="L512" s="402">
        <v>6.2700000000000006E-2</v>
      </c>
      <c r="M512" s="402">
        <v>8.7300000000000003E-2</v>
      </c>
      <c r="N512" s="402">
        <v>2.46E-2</v>
      </c>
      <c r="O512" s="396" t="s">
        <v>154</v>
      </c>
      <c r="P512" s="378">
        <v>1</v>
      </c>
      <c r="Q512" s="379" t="s">
        <v>217</v>
      </c>
      <c r="R512" s="320">
        <v>10462347</v>
      </c>
      <c r="S512" s="320">
        <f>R512+S447</f>
        <v>87316647</v>
      </c>
      <c r="T512" s="389">
        <v>5893484</v>
      </c>
      <c r="U512" s="389">
        <v>3899471</v>
      </c>
      <c r="V512" s="315" t="s">
        <v>150</v>
      </c>
      <c r="W512" s="22" t="s">
        <v>78</v>
      </c>
      <c r="X512" s="315">
        <v>0.53</v>
      </c>
      <c r="Y512" s="315" t="s">
        <v>151</v>
      </c>
      <c r="Z512" s="315"/>
      <c r="AA512" s="315" t="s">
        <v>38</v>
      </c>
      <c r="AB512" s="393">
        <f t="shared" si="233"/>
        <v>913362.89309999999</v>
      </c>
      <c r="AC512" s="315" t="s">
        <v>38</v>
      </c>
      <c r="AD512" s="330">
        <v>5545</v>
      </c>
      <c r="AE512" s="315" t="s">
        <v>38</v>
      </c>
      <c r="AF512" s="323" t="s">
        <v>38</v>
      </c>
    </row>
    <row r="513" spans="1:32" ht="14.25">
      <c r="A513" s="419" t="s">
        <v>130</v>
      </c>
      <c r="B513" s="310" t="s">
        <v>36</v>
      </c>
      <c r="C513" s="311" t="s">
        <v>147</v>
      </c>
      <c r="D513" s="31">
        <v>130040670023444</v>
      </c>
      <c r="E513" s="310" t="s">
        <v>0</v>
      </c>
      <c r="F513" s="310" t="s">
        <v>128</v>
      </c>
      <c r="G513" s="312" t="s">
        <v>76</v>
      </c>
      <c r="H513" s="312">
        <v>2024</v>
      </c>
      <c r="I513" s="334">
        <v>12</v>
      </c>
      <c r="J513" s="338">
        <v>45660</v>
      </c>
      <c r="K513" s="313" t="s">
        <v>38</v>
      </c>
      <c r="L513" s="403">
        <v>0.7006</v>
      </c>
      <c r="M513" s="403">
        <v>0.7419</v>
      </c>
      <c r="N513" s="403">
        <v>4.1300000000000003E-2</v>
      </c>
      <c r="O513" s="396" t="s">
        <v>154</v>
      </c>
      <c r="P513" s="376">
        <v>1</v>
      </c>
      <c r="Q513" s="377" t="s">
        <v>149</v>
      </c>
      <c r="R513" s="310">
        <v>220452</v>
      </c>
      <c r="S513" s="314">
        <f>R513+S479</f>
        <v>11202382</v>
      </c>
      <c r="T513" s="411">
        <v>1980000</v>
      </c>
      <c r="U513" s="382">
        <f>T513-N513*S513</f>
        <v>1517341.6233999999</v>
      </c>
      <c r="V513" s="310" t="s">
        <v>150</v>
      </c>
      <c r="W513" s="22" t="s">
        <v>78</v>
      </c>
      <c r="X513" s="310">
        <v>10.1</v>
      </c>
      <c r="Y513" s="310" t="s">
        <v>151</v>
      </c>
      <c r="Z513" s="310"/>
      <c r="AA513" s="310" t="s">
        <v>38</v>
      </c>
      <c r="AB513" s="393">
        <f t="shared" si="233"/>
        <v>163553.3388</v>
      </c>
      <c r="AC513" s="310" t="s">
        <v>38</v>
      </c>
      <c r="AD513" s="15">
        <f t="shared" ref="AD513:AD546" si="234">R513*X513/1000</f>
        <v>2226.5651999999995</v>
      </c>
      <c r="AE513" s="310" t="s">
        <v>38</v>
      </c>
      <c r="AF513" s="309" t="s">
        <v>38</v>
      </c>
    </row>
    <row r="514" spans="1:32" ht="14.25">
      <c r="A514" s="420" t="s">
        <v>130</v>
      </c>
      <c r="B514" s="315" t="s">
        <v>36</v>
      </c>
      <c r="C514" s="316" t="s">
        <v>152</v>
      </c>
      <c r="D514" s="31">
        <v>130040670023440</v>
      </c>
      <c r="E514" s="315" t="s">
        <v>0</v>
      </c>
      <c r="F514" s="315" t="s">
        <v>153</v>
      </c>
      <c r="G514" s="317" t="s">
        <v>76</v>
      </c>
      <c r="H514" s="317">
        <v>2024</v>
      </c>
      <c r="I514" s="334">
        <v>12</v>
      </c>
      <c r="J514" s="338">
        <v>45660</v>
      </c>
      <c r="K514" s="318" t="s">
        <v>38</v>
      </c>
      <c r="L514" s="402">
        <v>0.12970000000000001</v>
      </c>
      <c r="M514" s="402">
        <v>0.15260000000000001</v>
      </c>
      <c r="N514" s="402">
        <v>2.29E-2</v>
      </c>
      <c r="O514" s="396" t="s">
        <v>154</v>
      </c>
      <c r="P514" s="378">
        <v>1</v>
      </c>
      <c r="Q514" s="379" t="s">
        <v>155</v>
      </c>
      <c r="R514" s="315">
        <v>670341</v>
      </c>
      <c r="S514" s="320">
        <f t="shared" ref="S514:S540" si="235">R514+S480</f>
        <v>13160155</v>
      </c>
      <c r="T514" s="389">
        <v>1100000</v>
      </c>
      <c r="U514" s="382">
        <f>T514-N514*S514</f>
        <v>798632.45050000004</v>
      </c>
      <c r="V514" s="315" t="s">
        <v>156</v>
      </c>
      <c r="W514" s="22" t="s">
        <v>78</v>
      </c>
      <c r="X514" s="315">
        <v>2.4</v>
      </c>
      <c r="Y514" s="315" t="s">
        <v>157</v>
      </c>
      <c r="Z514" s="315"/>
      <c r="AA514" s="315" t="s">
        <v>38</v>
      </c>
      <c r="AB514" s="393">
        <f t="shared" si="233"/>
        <v>102294.03660000001</v>
      </c>
      <c r="AC514" s="315" t="s">
        <v>38</v>
      </c>
      <c r="AD514" s="15">
        <f t="shared" si="234"/>
        <v>1608.8183999999999</v>
      </c>
      <c r="AE514" s="315" t="s">
        <v>38</v>
      </c>
      <c r="AF514" s="309" t="s">
        <v>38</v>
      </c>
    </row>
    <row r="515" spans="1:32" ht="14.25">
      <c r="A515" s="420" t="s">
        <v>130</v>
      </c>
      <c r="B515" s="315" t="s">
        <v>36</v>
      </c>
      <c r="C515" s="316" t="s">
        <v>158</v>
      </c>
      <c r="D515" s="31">
        <v>130040670023442</v>
      </c>
      <c r="E515" s="315" t="s">
        <v>0</v>
      </c>
      <c r="F515" s="315" t="s">
        <v>153</v>
      </c>
      <c r="G515" s="317" t="s">
        <v>76</v>
      </c>
      <c r="H515" s="317">
        <v>2024</v>
      </c>
      <c r="I515" s="334">
        <v>12</v>
      </c>
      <c r="J515" s="338">
        <v>45660</v>
      </c>
      <c r="K515" s="318" t="s">
        <v>38</v>
      </c>
      <c r="L515" s="402">
        <v>0.1135</v>
      </c>
      <c r="M515" s="402">
        <v>0.1343</v>
      </c>
      <c r="N515" s="402">
        <v>2.0799999999999999E-2</v>
      </c>
      <c r="O515" s="396" t="s">
        <v>154</v>
      </c>
      <c r="P515" s="378">
        <v>1</v>
      </c>
      <c r="Q515" s="379" t="s">
        <v>159</v>
      </c>
      <c r="R515" s="315">
        <v>576812</v>
      </c>
      <c r="S515" s="320">
        <f t="shared" si="235"/>
        <v>12881341</v>
      </c>
      <c r="T515" s="389">
        <v>999000</v>
      </c>
      <c r="U515" s="382">
        <f t="shared" ref="U515" si="236">T515-N515*S515</f>
        <v>731068.10719999997</v>
      </c>
      <c r="V515" s="315" t="s">
        <v>156</v>
      </c>
      <c r="W515" s="22" t="s">
        <v>78</v>
      </c>
      <c r="X515" s="315">
        <v>1.8</v>
      </c>
      <c r="Y515" s="315" t="s">
        <v>157</v>
      </c>
      <c r="Z515" s="315"/>
      <c r="AA515" s="315" t="s">
        <v>38</v>
      </c>
      <c r="AB515" s="393">
        <f t="shared" si="233"/>
        <v>77465.851599999995</v>
      </c>
      <c r="AC515" s="315" t="s">
        <v>38</v>
      </c>
      <c r="AD515" s="15">
        <f t="shared" si="234"/>
        <v>1038.2616</v>
      </c>
      <c r="AE515" s="315" t="s">
        <v>38</v>
      </c>
      <c r="AF515" s="309" t="s">
        <v>38</v>
      </c>
    </row>
    <row r="516" spans="1:32" ht="14.25">
      <c r="A516" s="420" t="s">
        <v>130</v>
      </c>
      <c r="B516" s="315" t="s">
        <v>36</v>
      </c>
      <c r="C516" s="316" t="s">
        <v>160</v>
      </c>
      <c r="D516" s="31">
        <v>130040670023448</v>
      </c>
      <c r="E516" s="315" t="s">
        <v>0</v>
      </c>
      <c r="F516" s="315" t="s">
        <v>153</v>
      </c>
      <c r="G516" s="317" t="s">
        <v>76</v>
      </c>
      <c r="H516" s="317">
        <v>2024</v>
      </c>
      <c r="I516" s="334">
        <v>12</v>
      </c>
      <c r="J516" s="338">
        <v>45294</v>
      </c>
      <c r="K516" s="318" t="s">
        <v>38</v>
      </c>
      <c r="L516" s="402">
        <v>0.1056</v>
      </c>
      <c r="M516" s="402">
        <v>0.11840000000000001</v>
      </c>
      <c r="N516" s="402">
        <v>1.2800000000000001E-2</v>
      </c>
      <c r="O516" s="396" t="s">
        <v>154</v>
      </c>
      <c r="P516" s="378">
        <v>1</v>
      </c>
      <c r="Q516" s="379" t="s">
        <v>161</v>
      </c>
      <c r="R516" s="315">
        <v>0</v>
      </c>
      <c r="S516" s="320">
        <f t="shared" si="235"/>
        <v>10061092</v>
      </c>
      <c r="T516" s="389">
        <v>615000</v>
      </c>
      <c r="U516" s="382">
        <f>T516-N516*S516</f>
        <v>486218.02240000002</v>
      </c>
      <c r="V516" s="315" t="s">
        <v>150</v>
      </c>
      <c r="W516" s="22" t="s">
        <v>78</v>
      </c>
      <c r="X516" s="315">
        <v>1.4</v>
      </c>
      <c r="Y516" s="315" t="s">
        <v>151</v>
      </c>
      <c r="Z516" s="315"/>
      <c r="AA516" s="315" t="s">
        <v>38</v>
      </c>
      <c r="AB516" s="393">
        <f t="shared" si="233"/>
        <v>0</v>
      </c>
      <c r="AC516" s="315" t="s">
        <v>38</v>
      </c>
      <c r="AD516" s="15">
        <f t="shared" si="234"/>
        <v>0</v>
      </c>
      <c r="AE516" s="315" t="s">
        <v>38</v>
      </c>
      <c r="AF516" s="309" t="s">
        <v>38</v>
      </c>
    </row>
    <row r="517" spans="1:32" ht="14.25">
      <c r="A517" s="420" t="s">
        <v>130</v>
      </c>
      <c r="B517" s="315" t="s">
        <v>36</v>
      </c>
      <c r="C517" s="316" t="s">
        <v>162</v>
      </c>
      <c r="D517" s="31">
        <v>130040670023445</v>
      </c>
      <c r="E517" s="315" t="s">
        <v>0</v>
      </c>
      <c r="F517" s="315" t="s">
        <v>153</v>
      </c>
      <c r="G517" s="317" t="s">
        <v>76</v>
      </c>
      <c r="H517" s="317">
        <v>2024</v>
      </c>
      <c r="I517" s="334">
        <v>12</v>
      </c>
      <c r="J517" s="338">
        <v>45660</v>
      </c>
      <c r="K517" s="318" t="s">
        <v>38</v>
      </c>
      <c r="L517" s="402">
        <v>9.5299999999999996E-2</v>
      </c>
      <c r="M517" s="402">
        <v>0.1072</v>
      </c>
      <c r="N517" s="402">
        <v>1.1900000000000001E-2</v>
      </c>
      <c r="O517" s="396" t="s">
        <v>154</v>
      </c>
      <c r="P517" s="378">
        <v>1</v>
      </c>
      <c r="Q517" s="379" t="s">
        <v>163</v>
      </c>
      <c r="R517" s="315">
        <v>0</v>
      </c>
      <c r="S517" s="320">
        <f t="shared" si="235"/>
        <v>10199610</v>
      </c>
      <c r="T517" s="389">
        <v>570000</v>
      </c>
      <c r="U517" s="382">
        <f t="shared" ref="U517:U546" si="237">T517-N517*S517</f>
        <v>448624.641</v>
      </c>
      <c r="V517" s="315" t="s">
        <v>150</v>
      </c>
      <c r="W517" s="22" t="s">
        <v>78</v>
      </c>
      <c r="X517" s="315">
        <v>1.2</v>
      </c>
      <c r="Y517" s="315" t="s">
        <v>151</v>
      </c>
      <c r="Z517" s="315"/>
      <c r="AA517" s="315" t="s">
        <v>38</v>
      </c>
      <c r="AB517" s="393">
        <f t="shared" si="233"/>
        <v>0</v>
      </c>
      <c r="AC517" s="315" t="s">
        <v>38</v>
      </c>
      <c r="AD517" s="15">
        <f t="shared" si="234"/>
        <v>0</v>
      </c>
      <c r="AE517" s="315" t="s">
        <v>38</v>
      </c>
      <c r="AF517" s="309" t="s">
        <v>38</v>
      </c>
    </row>
    <row r="518" spans="1:32" ht="14.25">
      <c r="A518" s="420" t="s">
        <v>130</v>
      </c>
      <c r="B518" s="315" t="s">
        <v>36</v>
      </c>
      <c r="C518" s="316" t="s">
        <v>165</v>
      </c>
      <c r="D518" s="31">
        <v>130040670023443</v>
      </c>
      <c r="E518" s="315" t="s">
        <v>0</v>
      </c>
      <c r="F518" s="315" t="s">
        <v>128</v>
      </c>
      <c r="G518" s="317" t="s">
        <v>76</v>
      </c>
      <c r="H518" s="317">
        <v>2024</v>
      </c>
      <c r="I518" s="334">
        <v>12</v>
      </c>
      <c r="J518" s="338">
        <v>45660</v>
      </c>
      <c r="K518" s="318" t="s">
        <v>38</v>
      </c>
      <c r="L518" s="402">
        <v>5.2299999999999999E-2</v>
      </c>
      <c r="M518" s="402">
        <v>5.8900000000000001E-2</v>
      </c>
      <c r="N518" s="402">
        <v>6.6E-3</v>
      </c>
      <c r="O518" s="396" t="s">
        <v>154</v>
      </c>
      <c r="P518" s="378">
        <v>1</v>
      </c>
      <c r="Q518" s="379" t="s">
        <v>166</v>
      </c>
      <c r="R518" s="315">
        <v>344270</v>
      </c>
      <c r="S518" s="320">
        <f t="shared" si="235"/>
        <v>11079954</v>
      </c>
      <c r="T518" s="389">
        <v>315000</v>
      </c>
      <c r="U518" s="382">
        <f t="shared" si="237"/>
        <v>241872.30359999998</v>
      </c>
      <c r="V518" s="315" t="s">
        <v>167</v>
      </c>
      <c r="W518" s="22" t="s">
        <v>78</v>
      </c>
      <c r="X518" s="315">
        <v>1.06</v>
      </c>
      <c r="Y518" s="321" t="s">
        <v>168</v>
      </c>
      <c r="Z518" s="321"/>
      <c r="AA518" s="315" t="s">
        <v>38</v>
      </c>
      <c r="AB518" s="393">
        <f t="shared" si="233"/>
        <v>20277.503000000001</v>
      </c>
      <c r="AC518" s="315" t="s">
        <v>38</v>
      </c>
      <c r="AD518" s="15">
        <f t="shared" si="234"/>
        <v>364.92619999999999</v>
      </c>
      <c r="AE518" s="315" t="s">
        <v>38</v>
      </c>
      <c r="AF518" s="309" t="s">
        <v>38</v>
      </c>
    </row>
    <row r="519" spans="1:32" ht="14.25">
      <c r="A519" s="420" t="s">
        <v>130</v>
      </c>
      <c r="B519" s="315" t="s">
        <v>36</v>
      </c>
      <c r="C519" s="316" t="s">
        <v>169</v>
      </c>
      <c r="D519" s="31">
        <v>130040670024534</v>
      </c>
      <c r="E519" s="315" t="s">
        <v>0</v>
      </c>
      <c r="F519" s="315" t="s">
        <v>153</v>
      </c>
      <c r="G519" s="317" t="s">
        <v>76</v>
      </c>
      <c r="H519" s="317">
        <v>2024</v>
      </c>
      <c r="I519" s="334">
        <v>12</v>
      </c>
      <c r="J519" s="338">
        <v>45660</v>
      </c>
      <c r="K519" s="318" t="s">
        <v>38</v>
      </c>
      <c r="L519" s="402">
        <v>3.4099999999999998E-2</v>
      </c>
      <c r="M519" s="402">
        <v>4.1300000000000003E-2</v>
      </c>
      <c r="N519" s="402">
        <v>7.1999999999999998E-3</v>
      </c>
      <c r="O519" s="396" t="s">
        <v>154</v>
      </c>
      <c r="P519" s="378">
        <v>1</v>
      </c>
      <c r="Q519" s="379" t="s">
        <v>170</v>
      </c>
      <c r="R519" s="315">
        <v>488573</v>
      </c>
      <c r="S519" s="320">
        <f t="shared" si="235"/>
        <v>12934090</v>
      </c>
      <c r="T519" s="389">
        <v>345000</v>
      </c>
      <c r="U519" s="382">
        <f t="shared" si="237"/>
        <v>251874.552</v>
      </c>
      <c r="V519" s="315" t="s">
        <v>171</v>
      </c>
      <c r="W519" s="22" t="s">
        <v>78</v>
      </c>
      <c r="X519" s="315">
        <v>0.27</v>
      </c>
      <c r="Y519" s="315" t="s">
        <v>172</v>
      </c>
      <c r="Z519" s="315"/>
      <c r="AA519" s="315" t="s">
        <v>38</v>
      </c>
      <c r="AB519" s="393">
        <f t="shared" si="233"/>
        <v>20178.064900000001</v>
      </c>
      <c r="AC519" s="315" t="s">
        <v>38</v>
      </c>
      <c r="AD519" s="15">
        <f t="shared" si="234"/>
        <v>131.91471000000001</v>
      </c>
      <c r="AE519" s="315" t="s">
        <v>38</v>
      </c>
      <c r="AF519" s="309" t="s">
        <v>38</v>
      </c>
    </row>
    <row r="520" spans="1:32" ht="14.25">
      <c r="A520" s="420" t="s">
        <v>127</v>
      </c>
      <c r="B520" s="315" t="s">
        <v>36</v>
      </c>
      <c r="C520" s="316" t="s">
        <v>173</v>
      </c>
      <c r="D520" s="31">
        <v>130040670017658</v>
      </c>
      <c r="E520" s="315" t="s">
        <v>0</v>
      </c>
      <c r="F520" s="315" t="s">
        <v>128</v>
      </c>
      <c r="G520" s="317" t="s">
        <v>76</v>
      </c>
      <c r="H520" s="317">
        <v>2024</v>
      </c>
      <c r="I520" s="334">
        <v>12</v>
      </c>
      <c r="J520" s="338">
        <v>45660</v>
      </c>
      <c r="K520" s="318" t="s">
        <v>38</v>
      </c>
      <c r="L520" s="402">
        <v>4.3999999999999997E-2</v>
      </c>
      <c r="M520" s="402">
        <v>5.0799999999999998E-2</v>
      </c>
      <c r="N520" s="402">
        <v>6.7999999999999996E-3</v>
      </c>
      <c r="O520" s="396" t="s">
        <v>154</v>
      </c>
      <c r="P520" s="378">
        <v>1</v>
      </c>
      <c r="Q520" s="379" t="s">
        <v>174</v>
      </c>
      <c r="R520" s="315">
        <v>199200</v>
      </c>
      <c r="S520" s="320">
        <f t="shared" si="235"/>
        <v>5881921</v>
      </c>
      <c r="T520" s="389">
        <v>325000</v>
      </c>
      <c r="U520" s="382">
        <f t="shared" si="237"/>
        <v>285002.93719999999</v>
      </c>
      <c r="V520" s="315" t="s">
        <v>171</v>
      </c>
      <c r="W520" s="22" t="s">
        <v>78</v>
      </c>
      <c r="X520" s="315">
        <v>0.8</v>
      </c>
      <c r="Y520" s="315" t="s">
        <v>172</v>
      </c>
      <c r="Z520" s="315"/>
      <c r="AA520" s="315" t="s">
        <v>38</v>
      </c>
      <c r="AB520" s="393">
        <f t="shared" si="233"/>
        <v>10119.359999999999</v>
      </c>
      <c r="AC520" s="315" t="s">
        <v>38</v>
      </c>
      <c r="AD520" s="15">
        <f t="shared" si="234"/>
        <v>159.36000000000001</v>
      </c>
      <c r="AE520" s="315" t="s">
        <v>38</v>
      </c>
      <c r="AF520" s="309" t="s">
        <v>38</v>
      </c>
    </row>
    <row r="521" spans="1:32" ht="14.25">
      <c r="A521" s="420" t="s">
        <v>127</v>
      </c>
      <c r="B521" s="315" t="s">
        <v>36</v>
      </c>
      <c r="C521" s="316" t="s">
        <v>158</v>
      </c>
      <c r="D521" s="31">
        <v>130040670017656</v>
      </c>
      <c r="E521" s="315" t="s">
        <v>0</v>
      </c>
      <c r="F521" s="315" t="s">
        <v>128</v>
      </c>
      <c r="G521" s="317" t="s">
        <v>76</v>
      </c>
      <c r="H521" s="317">
        <v>2024</v>
      </c>
      <c r="I521" s="334">
        <v>12</v>
      </c>
      <c r="J521" s="338">
        <v>45660</v>
      </c>
      <c r="K521" s="318" t="s">
        <v>38</v>
      </c>
      <c r="L521" s="402">
        <v>9.6000000000000002E-2</v>
      </c>
      <c r="M521" s="402">
        <v>0.1069</v>
      </c>
      <c r="N521" s="402">
        <v>1.09E-2</v>
      </c>
      <c r="O521" s="396" t="s">
        <v>154</v>
      </c>
      <c r="P521" s="378">
        <v>1</v>
      </c>
      <c r="Q521" s="379" t="s">
        <v>175</v>
      </c>
      <c r="R521" s="315">
        <v>264545</v>
      </c>
      <c r="S521" s="320">
        <f t="shared" si="235"/>
        <v>6135026</v>
      </c>
      <c r="T521" s="389">
        <v>525000</v>
      </c>
      <c r="U521" s="382">
        <f t="shared" si="237"/>
        <v>458128.21659999999</v>
      </c>
      <c r="V521" s="315" t="s">
        <v>156</v>
      </c>
      <c r="W521" s="22" t="s">
        <v>78</v>
      </c>
      <c r="X521" s="315">
        <v>2.4</v>
      </c>
      <c r="Y521" s="315" t="s">
        <v>157</v>
      </c>
      <c r="Z521" s="315"/>
      <c r="AA521" s="315" t="s">
        <v>38</v>
      </c>
      <c r="AB521" s="393">
        <f t="shared" si="233"/>
        <v>28279.860499999999</v>
      </c>
      <c r="AC521" s="315" t="s">
        <v>38</v>
      </c>
      <c r="AD521" s="15">
        <f t="shared" si="234"/>
        <v>634.90800000000002</v>
      </c>
      <c r="AE521" s="315" t="s">
        <v>38</v>
      </c>
      <c r="AF521" s="309" t="s">
        <v>38</v>
      </c>
    </row>
    <row r="522" spans="1:32" ht="14.25">
      <c r="A522" s="420" t="s">
        <v>127</v>
      </c>
      <c r="B522" s="315" t="s">
        <v>36</v>
      </c>
      <c r="C522" s="316" t="s">
        <v>152</v>
      </c>
      <c r="D522" s="31">
        <v>130040670017662</v>
      </c>
      <c r="E522" s="315" t="s">
        <v>0</v>
      </c>
      <c r="F522" s="315" t="s">
        <v>128</v>
      </c>
      <c r="G522" s="317" t="s">
        <v>76</v>
      </c>
      <c r="H522" s="317">
        <v>2024</v>
      </c>
      <c r="I522" s="334">
        <v>12</v>
      </c>
      <c r="J522" s="338">
        <v>45660</v>
      </c>
      <c r="K522" s="318" t="s">
        <v>38</v>
      </c>
      <c r="L522" s="402">
        <v>4.8000000000000001E-2</v>
      </c>
      <c r="M522" s="402">
        <v>6.0299999999999999E-2</v>
      </c>
      <c r="N522" s="402">
        <v>1.23E-2</v>
      </c>
      <c r="O522" s="396" t="s">
        <v>154</v>
      </c>
      <c r="P522" s="378">
        <v>1</v>
      </c>
      <c r="Q522" s="379" t="s">
        <v>176</v>
      </c>
      <c r="R522" s="315">
        <v>288000</v>
      </c>
      <c r="S522" s="320">
        <f t="shared" si="235"/>
        <v>5448564</v>
      </c>
      <c r="T522" s="389">
        <v>589000</v>
      </c>
      <c r="U522" s="382">
        <f t="shared" si="237"/>
        <v>521982.66279999999</v>
      </c>
      <c r="V522" s="315" t="s">
        <v>156</v>
      </c>
      <c r="W522" s="22" t="s">
        <v>78</v>
      </c>
      <c r="X522" s="315">
        <v>0.67</v>
      </c>
      <c r="Y522" s="315" t="s">
        <v>157</v>
      </c>
      <c r="Z522" s="315"/>
      <c r="AA522" s="315" t="s">
        <v>38</v>
      </c>
      <c r="AB522" s="393">
        <f t="shared" si="233"/>
        <v>17366.400000000001</v>
      </c>
      <c r="AC522" s="315" t="s">
        <v>38</v>
      </c>
      <c r="AD522" s="15">
        <f t="shared" si="234"/>
        <v>192.96</v>
      </c>
      <c r="AE522" s="315" t="s">
        <v>38</v>
      </c>
      <c r="AF522" s="309" t="s">
        <v>38</v>
      </c>
    </row>
    <row r="523" spans="1:32" ht="14.25">
      <c r="A523" s="420" t="s">
        <v>124</v>
      </c>
      <c r="B523" s="315" t="s">
        <v>36</v>
      </c>
      <c r="C523" s="316" t="s">
        <v>147</v>
      </c>
      <c r="D523" s="31">
        <v>130040670021245</v>
      </c>
      <c r="E523" s="315" t="s">
        <v>0</v>
      </c>
      <c r="F523" s="315" t="s">
        <v>127</v>
      </c>
      <c r="G523" s="317" t="s">
        <v>76</v>
      </c>
      <c r="H523" s="317">
        <v>2024</v>
      </c>
      <c r="I523" s="334">
        <v>12</v>
      </c>
      <c r="J523" s="338">
        <v>45660</v>
      </c>
      <c r="K523" s="318" t="s">
        <v>38</v>
      </c>
      <c r="L523" s="402">
        <v>0.28100000000000003</v>
      </c>
      <c r="M523" s="402">
        <v>0.30070000000000002</v>
      </c>
      <c r="N523" s="402">
        <v>1.9699999999999999E-2</v>
      </c>
      <c r="O523" s="396" t="s">
        <v>154</v>
      </c>
      <c r="P523" s="378">
        <v>1</v>
      </c>
      <c r="Q523" s="379" t="s">
        <v>177</v>
      </c>
      <c r="R523" s="315">
        <v>1434672</v>
      </c>
      <c r="S523" s="320">
        <f t="shared" si="235"/>
        <v>38505946</v>
      </c>
      <c r="T523" s="389">
        <v>3150000</v>
      </c>
      <c r="U523" s="382">
        <f t="shared" si="237"/>
        <v>2391432.8637999999</v>
      </c>
      <c r="V523" s="315" t="s">
        <v>150</v>
      </c>
      <c r="W523" s="22" t="s">
        <v>78</v>
      </c>
      <c r="X523" s="315">
        <v>4.5</v>
      </c>
      <c r="Y523" s="315" t="s">
        <v>151</v>
      </c>
      <c r="Z523" s="315"/>
      <c r="AA523" s="315" t="s">
        <v>38</v>
      </c>
      <c r="AB523" s="393">
        <f t="shared" si="233"/>
        <v>431405.87040000001</v>
      </c>
      <c r="AC523" s="315" t="s">
        <v>38</v>
      </c>
      <c r="AD523" s="15">
        <f t="shared" si="234"/>
        <v>6456.0240000000003</v>
      </c>
      <c r="AE523" s="315" t="s">
        <v>38</v>
      </c>
      <c r="AF523" s="309" t="s">
        <v>38</v>
      </c>
    </row>
    <row r="524" spans="1:32" ht="14.25">
      <c r="A524" s="420" t="s">
        <v>124</v>
      </c>
      <c r="B524" s="315" t="s">
        <v>36</v>
      </c>
      <c r="C524" s="316" t="s">
        <v>162</v>
      </c>
      <c r="D524" s="31">
        <v>130040670021246</v>
      </c>
      <c r="E524" s="315" t="s">
        <v>0</v>
      </c>
      <c r="F524" s="315" t="s">
        <v>127</v>
      </c>
      <c r="G524" s="317" t="s">
        <v>76</v>
      </c>
      <c r="H524" s="317">
        <v>2024</v>
      </c>
      <c r="I524" s="334">
        <v>12</v>
      </c>
      <c r="J524" s="338">
        <v>45660</v>
      </c>
      <c r="K524" s="318" t="s">
        <v>38</v>
      </c>
      <c r="L524" s="402">
        <v>4.7E-2</v>
      </c>
      <c r="M524" s="402">
        <v>5.6399999999999999E-2</v>
      </c>
      <c r="N524" s="402">
        <v>9.4000000000000004E-3</v>
      </c>
      <c r="O524" s="396" t="s">
        <v>154</v>
      </c>
      <c r="P524" s="378">
        <v>1</v>
      </c>
      <c r="Q524" s="379" t="s">
        <v>178</v>
      </c>
      <c r="R524" s="315">
        <v>1890000</v>
      </c>
      <c r="S524" s="320">
        <f t="shared" si="235"/>
        <v>37711818</v>
      </c>
      <c r="T524" s="389">
        <v>1350000</v>
      </c>
      <c r="U524" s="382">
        <f t="shared" si="237"/>
        <v>995508.91079999995</v>
      </c>
      <c r="V524" s="315" t="s">
        <v>150</v>
      </c>
      <c r="W524" s="22" t="s">
        <v>78</v>
      </c>
      <c r="X524" s="315">
        <v>0.5</v>
      </c>
      <c r="Y524" s="315" t="s">
        <v>151</v>
      </c>
      <c r="Z524" s="315"/>
      <c r="AA524" s="315" t="s">
        <v>38</v>
      </c>
      <c r="AB524" s="393">
        <f t="shared" si="233"/>
        <v>106596</v>
      </c>
      <c r="AC524" s="315" t="s">
        <v>38</v>
      </c>
      <c r="AD524" s="15">
        <f t="shared" si="234"/>
        <v>945</v>
      </c>
      <c r="AE524" s="315" t="s">
        <v>38</v>
      </c>
      <c r="AF524" s="309" t="s">
        <v>38</v>
      </c>
    </row>
    <row r="525" spans="1:32" ht="14.25">
      <c r="A525" s="420" t="s">
        <v>124</v>
      </c>
      <c r="B525" s="315" t="s">
        <v>36</v>
      </c>
      <c r="C525" s="316" t="s">
        <v>160</v>
      </c>
      <c r="D525" s="31">
        <v>130040670026558</v>
      </c>
      <c r="E525" s="315" t="s">
        <v>0</v>
      </c>
      <c r="F525" s="315" t="s">
        <v>127</v>
      </c>
      <c r="G525" s="317" t="s">
        <v>76</v>
      </c>
      <c r="H525" s="317">
        <v>2024</v>
      </c>
      <c r="I525" s="334">
        <v>12</v>
      </c>
      <c r="J525" s="338">
        <v>45660</v>
      </c>
      <c r="K525" s="318" t="s">
        <v>38</v>
      </c>
      <c r="L525" s="402">
        <v>0.06</v>
      </c>
      <c r="M525" s="402">
        <v>7.0599999999999996E-2</v>
      </c>
      <c r="N525" s="402">
        <v>1.06E-2</v>
      </c>
      <c r="O525" s="396" t="s">
        <v>154</v>
      </c>
      <c r="P525" s="378">
        <v>1</v>
      </c>
      <c r="Q525" s="379" t="s">
        <v>179</v>
      </c>
      <c r="R525" s="315">
        <v>1825724</v>
      </c>
      <c r="S525" s="320">
        <f t="shared" si="235"/>
        <v>37805710</v>
      </c>
      <c r="T525" s="389">
        <v>1530000</v>
      </c>
      <c r="U525" s="382">
        <f t="shared" si="237"/>
        <v>1129259.4739999999</v>
      </c>
      <c r="V525" s="315" t="s">
        <v>150</v>
      </c>
      <c r="W525" s="22" t="s">
        <v>78</v>
      </c>
      <c r="X525" s="315">
        <v>0.9</v>
      </c>
      <c r="Y525" s="315" t="s">
        <v>151</v>
      </c>
      <c r="Z525" s="315"/>
      <c r="AA525" s="315" t="s">
        <v>38</v>
      </c>
      <c r="AB525" s="393">
        <f t="shared" si="233"/>
        <v>128896.11439999999</v>
      </c>
      <c r="AC525" s="315" t="s">
        <v>38</v>
      </c>
      <c r="AD525" s="15">
        <f t="shared" si="234"/>
        <v>1643.1516000000001</v>
      </c>
      <c r="AE525" s="315" t="s">
        <v>38</v>
      </c>
      <c r="AF525" s="309" t="s">
        <v>38</v>
      </c>
    </row>
    <row r="526" spans="1:32" ht="14.25">
      <c r="A526" s="420" t="s">
        <v>124</v>
      </c>
      <c r="B526" s="315" t="s">
        <v>36</v>
      </c>
      <c r="C526" s="316" t="s">
        <v>180</v>
      </c>
      <c r="D526" s="31">
        <v>130040670021244</v>
      </c>
      <c r="E526" s="315" t="s">
        <v>0</v>
      </c>
      <c r="F526" s="315" t="s">
        <v>128</v>
      </c>
      <c r="G526" s="317" t="s">
        <v>76</v>
      </c>
      <c r="H526" s="317">
        <v>2024</v>
      </c>
      <c r="I526" s="334">
        <v>12</v>
      </c>
      <c r="J526" s="338">
        <v>45660</v>
      </c>
      <c r="K526" s="318" t="s">
        <v>38</v>
      </c>
      <c r="L526" s="402">
        <v>0.12</v>
      </c>
      <c r="M526" s="402">
        <v>0.1331</v>
      </c>
      <c r="N526" s="402">
        <v>1.3100000000000001E-2</v>
      </c>
      <c r="O526" s="396" t="s">
        <v>154</v>
      </c>
      <c r="P526" s="378">
        <v>1</v>
      </c>
      <c r="Q526" s="379" t="s">
        <v>181</v>
      </c>
      <c r="R526" s="315">
        <v>1108255</v>
      </c>
      <c r="S526" s="320">
        <f t="shared" si="235"/>
        <v>23077128</v>
      </c>
      <c r="T526" s="389">
        <v>1260000</v>
      </c>
      <c r="U526" s="382">
        <f t="shared" si="237"/>
        <v>957689.62320000003</v>
      </c>
      <c r="V526" s="315" t="s">
        <v>156</v>
      </c>
      <c r="W526" s="22" t="s">
        <v>78</v>
      </c>
      <c r="X526" s="315">
        <v>3.42</v>
      </c>
      <c r="Y526" s="315" t="s">
        <v>157</v>
      </c>
      <c r="Z526" s="315"/>
      <c r="AA526" s="315" t="s">
        <v>38</v>
      </c>
      <c r="AB526" s="393">
        <f t="shared" si="233"/>
        <v>147508.74049999999</v>
      </c>
      <c r="AC526" s="315" t="s">
        <v>38</v>
      </c>
      <c r="AD526" s="15">
        <f t="shared" si="234"/>
        <v>3790.2321000000002</v>
      </c>
      <c r="AE526" s="315" t="s">
        <v>38</v>
      </c>
      <c r="AF526" s="309" t="s">
        <v>38</v>
      </c>
    </row>
    <row r="527" spans="1:32" ht="14.25">
      <c r="A527" s="420" t="s">
        <v>113</v>
      </c>
      <c r="B527" s="315" t="s">
        <v>36</v>
      </c>
      <c r="C527" s="316" t="s">
        <v>182</v>
      </c>
      <c r="D527" s="31">
        <v>130040670039455</v>
      </c>
      <c r="E527" s="315" t="s">
        <v>0</v>
      </c>
      <c r="F527" s="315" t="s">
        <v>183</v>
      </c>
      <c r="G527" s="317" t="s">
        <v>76</v>
      </c>
      <c r="H527" s="317">
        <v>2024</v>
      </c>
      <c r="I527" s="334">
        <v>12</v>
      </c>
      <c r="J527" s="338">
        <v>45660</v>
      </c>
      <c r="K527" s="318" t="s">
        <v>38</v>
      </c>
      <c r="L527" s="402">
        <v>6.5299999999999997E-2</v>
      </c>
      <c r="M527" s="402">
        <v>7.5899999999999995E-2</v>
      </c>
      <c r="N527" s="402">
        <v>1.06E-2</v>
      </c>
      <c r="O527" s="396" t="s">
        <v>154</v>
      </c>
      <c r="P527" s="378">
        <v>1</v>
      </c>
      <c r="Q527" s="379" t="s">
        <v>184</v>
      </c>
      <c r="R527" s="315">
        <v>1456498</v>
      </c>
      <c r="S527" s="320">
        <f t="shared" si="235"/>
        <v>22246770</v>
      </c>
      <c r="T527" s="389">
        <v>1020000</v>
      </c>
      <c r="U527" s="382">
        <f t="shared" si="237"/>
        <v>784184.23800000001</v>
      </c>
      <c r="V527" s="315" t="s">
        <v>156</v>
      </c>
      <c r="W527" s="22" t="s">
        <v>78</v>
      </c>
      <c r="X527" s="315">
        <v>1.33</v>
      </c>
      <c r="Y527" s="315" t="s">
        <v>157</v>
      </c>
      <c r="Z527" s="315"/>
      <c r="AA527" s="315" t="s">
        <v>38</v>
      </c>
      <c r="AB527" s="393">
        <f t="shared" si="233"/>
        <v>110548.1982</v>
      </c>
      <c r="AC527" s="315" t="s">
        <v>38</v>
      </c>
      <c r="AD527" s="15">
        <f t="shared" si="234"/>
        <v>1937.1423400000001</v>
      </c>
      <c r="AE527" s="315" t="s">
        <v>38</v>
      </c>
      <c r="AF527" s="309" t="s">
        <v>38</v>
      </c>
    </row>
    <row r="528" spans="1:32" ht="14.25">
      <c r="A528" s="420" t="s">
        <v>113</v>
      </c>
      <c r="B528" s="315" t="s">
        <v>36</v>
      </c>
      <c r="C528" s="316" t="s">
        <v>185</v>
      </c>
      <c r="D528" s="31">
        <v>130040670023906</v>
      </c>
      <c r="E528" s="315" t="s">
        <v>0</v>
      </c>
      <c r="F528" s="315" t="s">
        <v>128</v>
      </c>
      <c r="G528" s="317" t="s">
        <v>76</v>
      </c>
      <c r="H528" s="317">
        <v>2024</v>
      </c>
      <c r="I528" s="334">
        <v>12</v>
      </c>
      <c r="J528" s="338">
        <v>45660</v>
      </c>
      <c r="K528" s="318" t="s">
        <v>38</v>
      </c>
      <c r="L528" s="402">
        <v>3.9300000000000002E-2</v>
      </c>
      <c r="M528" s="402">
        <v>4.6699999999999998E-2</v>
      </c>
      <c r="N528" s="402">
        <v>7.4000000000000003E-3</v>
      </c>
      <c r="O528" s="396" t="s">
        <v>154</v>
      </c>
      <c r="P528" s="378">
        <v>1</v>
      </c>
      <c r="Q528" s="379" t="s">
        <v>186</v>
      </c>
      <c r="R528" s="322">
        <v>670500</v>
      </c>
      <c r="S528" s="320">
        <f t="shared" si="235"/>
        <v>8737416</v>
      </c>
      <c r="T528" s="389">
        <v>355000</v>
      </c>
      <c r="U528" s="382">
        <f t="shared" si="237"/>
        <v>290343.12160000001</v>
      </c>
      <c r="V528" s="315" t="s">
        <v>171</v>
      </c>
      <c r="W528" s="22" t="s">
        <v>78</v>
      </c>
      <c r="X528" s="315">
        <v>0.36</v>
      </c>
      <c r="Y528" s="315" t="s">
        <v>172</v>
      </c>
      <c r="Z528" s="315"/>
      <c r="AA528" s="315" t="s">
        <v>38</v>
      </c>
      <c r="AB528" s="393">
        <f t="shared" si="233"/>
        <v>31312.35</v>
      </c>
      <c r="AC528" s="315" t="s">
        <v>38</v>
      </c>
      <c r="AD528" s="15">
        <f t="shared" si="234"/>
        <v>241.38</v>
      </c>
      <c r="AE528" s="315" t="s">
        <v>38</v>
      </c>
      <c r="AF528" s="309" t="s">
        <v>38</v>
      </c>
    </row>
    <row r="529" spans="1:32" ht="14.25">
      <c r="A529" s="420" t="s">
        <v>113</v>
      </c>
      <c r="B529" s="315" t="s">
        <v>36</v>
      </c>
      <c r="C529" s="316" t="s">
        <v>152</v>
      </c>
      <c r="D529" s="31">
        <v>130040670023899</v>
      </c>
      <c r="E529" s="315" t="s">
        <v>0</v>
      </c>
      <c r="F529" s="315" t="s">
        <v>128</v>
      </c>
      <c r="G529" s="317" t="s">
        <v>76</v>
      </c>
      <c r="H529" s="317">
        <v>2024</v>
      </c>
      <c r="I529" s="334">
        <v>12</v>
      </c>
      <c r="J529" s="338">
        <v>45660</v>
      </c>
      <c r="K529" s="318" t="s">
        <v>38</v>
      </c>
      <c r="L529" s="402">
        <v>0.12970000000000001</v>
      </c>
      <c r="M529" s="402">
        <v>0.15260000000000001</v>
      </c>
      <c r="N529" s="402">
        <v>2.29E-2</v>
      </c>
      <c r="O529" s="396" t="s">
        <v>154</v>
      </c>
      <c r="P529" s="378">
        <v>1</v>
      </c>
      <c r="Q529" s="379" t="s">
        <v>155</v>
      </c>
      <c r="R529" s="320">
        <v>700799</v>
      </c>
      <c r="S529" s="320">
        <f t="shared" si="235"/>
        <v>9011819</v>
      </c>
      <c r="T529" s="389">
        <v>1100000</v>
      </c>
      <c r="U529" s="382">
        <f t="shared" si="237"/>
        <v>893629.34490000003</v>
      </c>
      <c r="V529" s="315" t="s">
        <v>156</v>
      </c>
      <c r="W529" s="22" t="s">
        <v>78</v>
      </c>
      <c r="X529" s="315">
        <v>2.7</v>
      </c>
      <c r="Y529" s="315" t="s">
        <v>157</v>
      </c>
      <c r="Z529" s="315"/>
      <c r="AA529" s="315" t="s">
        <v>38</v>
      </c>
      <c r="AB529" s="393">
        <f t="shared" si="233"/>
        <v>106941.92740000002</v>
      </c>
      <c r="AC529" s="315" t="s">
        <v>38</v>
      </c>
      <c r="AD529" s="15">
        <f t="shared" si="234"/>
        <v>1892.1573000000001</v>
      </c>
      <c r="AE529" s="315" t="s">
        <v>38</v>
      </c>
      <c r="AF529" s="309" t="s">
        <v>38</v>
      </c>
    </row>
    <row r="530" spans="1:32" ht="14.25">
      <c r="A530" s="420" t="s">
        <v>113</v>
      </c>
      <c r="B530" s="315" t="s">
        <v>36</v>
      </c>
      <c r="C530" s="316" t="s">
        <v>187</v>
      </c>
      <c r="D530" s="31">
        <v>130040670039442</v>
      </c>
      <c r="E530" s="315" t="s">
        <v>0</v>
      </c>
      <c r="F530" s="315" t="s">
        <v>183</v>
      </c>
      <c r="G530" s="317" t="s">
        <v>76</v>
      </c>
      <c r="H530" s="317">
        <v>2024</v>
      </c>
      <c r="I530" s="334">
        <v>12</v>
      </c>
      <c r="J530" s="338">
        <v>45660</v>
      </c>
      <c r="K530" s="318" t="s">
        <v>38</v>
      </c>
      <c r="L530" s="402">
        <v>6.6699999999999995E-2</v>
      </c>
      <c r="M530" s="402">
        <v>7.7299999999999994E-2</v>
      </c>
      <c r="N530" s="402">
        <v>1.06E-2</v>
      </c>
      <c r="O530" s="396" t="s">
        <v>154</v>
      </c>
      <c r="P530" s="378">
        <v>1</v>
      </c>
      <c r="Q530" s="379" t="s">
        <v>188</v>
      </c>
      <c r="R530" s="315">
        <v>1407090</v>
      </c>
      <c r="S530" s="320">
        <f t="shared" si="235"/>
        <v>22108892</v>
      </c>
      <c r="T530" s="389">
        <v>1020000</v>
      </c>
      <c r="U530" s="382">
        <f t="shared" si="237"/>
        <v>785645.74479999999</v>
      </c>
      <c r="V530" s="315" t="s">
        <v>156</v>
      </c>
      <c r="W530" s="22" t="s">
        <v>78</v>
      </c>
      <c r="X530" s="315">
        <v>1.39</v>
      </c>
      <c r="Y530" s="315" t="s">
        <v>157</v>
      </c>
      <c r="Z530" s="315"/>
      <c r="AA530" s="315" t="s">
        <v>38</v>
      </c>
      <c r="AB530" s="393">
        <f t="shared" si="233"/>
        <v>108768.05699999999</v>
      </c>
      <c r="AC530" s="315" t="s">
        <v>38</v>
      </c>
      <c r="AD530" s="15">
        <f t="shared" si="234"/>
        <v>1955.8550999999998</v>
      </c>
      <c r="AE530" s="315" t="s">
        <v>38</v>
      </c>
      <c r="AF530" s="309" t="s">
        <v>38</v>
      </c>
    </row>
    <row r="531" spans="1:32" ht="14.25">
      <c r="A531" s="420" t="s">
        <v>113</v>
      </c>
      <c r="B531" s="315" t="s">
        <v>36</v>
      </c>
      <c r="C531" s="316" t="s">
        <v>158</v>
      </c>
      <c r="D531" s="31">
        <v>130040670023900</v>
      </c>
      <c r="E531" s="315" t="s">
        <v>0</v>
      </c>
      <c r="F531" s="315" t="s">
        <v>128</v>
      </c>
      <c r="G531" s="317" t="s">
        <v>76</v>
      </c>
      <c r="H531" s="317">
        <v>2024</v>
      </c>
      <c r="I531" s="334">
        <v>12</v>
      </c>
      <c r="J531" s="338">
        <v>45660</v>
      </c>
      <c r="K531" s="318" t="s">
        <v>38</v>
      </c>
      <c r="L531" s="402">
        <v>0.1128</v>
      </c>
      <c r="M531" s="402">
        <v>0.1336</v>
      </c>
      <c r="N531" s="402">
        <v>2.0799999999999999E-2</v>
      </c>
      <c r="O531" s="396" t="s">
        <v>154</v>
      </c>
      <c r="P531" s="378">
        <v>1</v>
      </c>
      <c r="Q531" s="379" t="s">
        <v>189</v>
      </c>
      <c r="R531" s="320">
        <v>634546</v>
      </c>
      <c r="S531" s="320">
        <f t="shared" si="235"/>
        <v>8960335</v>
      </c>
      <c r="T531" s="389">
        <v>999000</v>
      </c>
      <c r="U531" s="382">
        <f t="shared" si="237"/>
        <v>812625.03200000001</v>
      </c>
      <c r="V531" s="315" t="s">
        <v>156</v>
      </c>
      <c r="W531" s="22" t="s">
        <v>78</v>
      </c>
      <c r="X531" s="315">
        <v>1.5</v>
      </c>
      <c r="Y531" s="315" t="s">
        <v>157</v>
      </c>
      <c r="Z531" s="315"/>
      <c r="AA531" s="315" t="s">
        <v>38</v>
      </c>
      <c r="AB531" s="393">
        <f t="shared" si="233"/>
        <v>84775.345600000001</v>
      </c>
      <c r="AC531" s="315" t="s">
        <v>38</v>
      </c>
      <c r="AD531" s="15">
        <f t="shared" si="234"/>
        <v>951.81899999999996</v>
      </c>
      <c r="AE531" s="315" t="s">
        <v>38</v>
      </c>
      <c r="AF531" s="309" t="s">
        <v>38</v>
      </c>
    </row>
    <row r="532" spans="1:32" ht="14.25">
      <c r="A532" s="420" t="s">
        <v>113</v>
      </c>
      <c r="B532" s="315" t="s">
        <v>36</v>
      </c>
      <c r="C532" s="316" t="s">
        <v>190</v>
      </c>
      <c r="D532" s="31">
        <v>130040670017669</v>
      </c>
      <c r="E532" s="315" t="s">
        <v>0</v>
      </c>
      <c r="F532" s="315" t="s">
        <v>191</v>
      </c>
      <c r="G532" s="317" t="s">
        <v>76</v>
      </c>
      <c r="H532" s="317">
        <v>2024</v>
      </c>
      <c r="I532" s="334">
        <v>12</v>
      </c>
      <c r="J532" s="338">
        <v>45660</v>
      </c>
      <c r="K532" s="318" t="s">
        <v>38</v>
      </c>
      <c r="L532" s="402">
        <v>6.1499999999999999E-2</v>
      </c>
      <c r="M532" s="402">
        <v>6.9400000000000003E-2</v>
      </c>
      <c r="N532" s="402">
        <v>7.9000000000000008E-3</v>
      </c>
      <c r="O532" s="396" t="s">
        <v>154</v>
      </c>
      <c r="P532" s="378">
        <v>1</v>
      </c>
      <c r="Q532" s="379" t="s">
        <v>192</v>
      </c>
      <c r="R532" s="315">
        <v>2345629</v>
      </c>
      <c r="S532" s="320">
        <f t="shared" si="235"/>
        <v>29559623</v>
      </c>
      <c r="T532" s="389">
        <v>760000</v>
      </c>
      <c r="U532" s="382">
        <f t="shared" si="237"/>
        <v>526478.97829999996</v>
      </c>
      <c r="V532" s="315" t="s">
        <v>156</v>
      </c>
      <c r="W532" s="22" t="s">
        <v>78</v>
      </c>
      <c r="X532" s="315">
        <v>1.1000000000000001</v>
      </c>
      <c r="Y532" s="315" t="s">
        <v>157</v>
      </c>
      <c r="Z532" s="315"/>
      <c r="AA532" s="315" t="s">
        <v>38</v>
      </c>
      <c r="AB532" s="393">
        <f t="shared" si="233"/>
        <v>162786.6526</v>
      </c>
      <c r="AC532" s="315" t="s">
        <v>38</v>
      </c>
      <c r="AD532" s="15">
        <f t="shared" si="234"/>
        <v>2580.1919000000003</v>
      </c>
      <c r="AE532" s="315" t="s">
        <v>38</v>
      </c>
      <c r="AF532" s="309" t="s">
        <v>38</v>
      </c>
    </row>
    <row r="533" spans="1:32" ht="14.25">
      <c r="A533" s="420" t="s">
        <v>106</v>
      </c>
      <c r="B533" s="315" t="s">
        <v>36</v>
      </c>
      <c r="C533" s="316" t="s">
        <v>147</v>
      </c>
      <c r="D533" s="31">
        <v>130040670018928</v>
      </c>
      <c r="E533" s="315" t="s">
        <v>0</v>
      </c>
      <c r="F533" s="315" t="s">
        <v>113</v>
      </c>
      <c r="G533" s="317" t="s">
        <v>76</v>
      </c>
      <c r="H533" s="317">
        <v>2024</v>
      </c>
      <c r="I533" s="334">
        <v>12</v>
      </c>
      <c r="J533" s="338">
        <v>45660</v>
      </c>
      <c r="K533" s="318" t="s">
        <v>38</v>
      </c>
      <c r="L533" s="402">
        <v>0.31</v>
      </c>
      <c r="M533" s="402">
        <v>0.34499999999999997</v>
      </c>
      <c r="N533" s="402">
        <v>3.5000000000000003E-2</v>
      </c>
      <c r="O533" s="396" t="s">
        <v>154</v>
      </c>
      <c r="P533" s="378">
        <v>1</v>
      </c>
      <c r="Q533" s="379" t="s">
        <v>193</v>
      </c>
      <c r="R533" s="320">
        <v>1157321</v>
      </c>
      <c r="S533" s="320">
        <f t="shared" si="235"/>
        <v>19014157</v>
      </c>
      <c r="T533" s="389">
        <v>4200000</v>
      </c>
      <c r="U533" s="382">
        <f t="shared" si="237"/>
        <v>3534504.5049999999</v>
      </c>
      <c r="V533" s="315" t="s">
        <v>150</v>
      </c>
      <c r="W533" s="22" t="s">
        <v>78</v>
      </c>
      <c r="X533" s="315">
        <v>6.2</v>
      </c>
      <c r="Y533" s="315" t="s">
        <v>151</v>
      </c>
      <c r="Z533" s="315"/>
      <c r="AA533" s="315" t="s">
        <v>38</v>
      </c>
      <c r="AB533" s="393">
        <f t="shared" si="233"/>
        <v>399275.745</v>
      </c>
      <c r="AC533" s="315" t="s">
        <v>38</v>
      </c>
      <c r="AD533" s="15">
        <f t="shared" si="234"/>
        <v>7175.3901999999998</v>
      </c>
      <c r="AE533" s="315" t="s">
        <v>38</v>
      </c>
      <c r="AF533" s="323" t="s">
        <v>38</v>
      </c>
    </row>
    <row r="534" spans="1:32" ht="14.25">
      <c r="A534" s="420" t="s">
        <v>106</v>
      </c>
      <c r="B534" s="315" t="s">
        <v>36</v>
      </c>
      <c r="C534" s="316" t="s">
        <v>158</v>
      </c>
      <c r="D534" s="31">
        <v>130040670018919</v>
      </c>
      <c r="E534" s="315" t="s">
        <v>0</v>
      </c>
      <c r="F534" s="315" t="s">
        <v>128</v>
      </c>
      <c r="G534" s="317" t="s">
        <v>76</v>
      </c>
      <c r="H534" s="317">
        <v>2024</v>
      </c>
      <c r="I534" s="334">
        <v>12</v>
      </c>
      <c r="J534" s="338">
        <v>45660</v>
      </c>
      <c r="K534" s="318" t="s">
        <v>38</v>
      </c>
      <c r="L534" s="402">
        <v>0.128</v>
      </c>
      <c r="M534" s="402">
        <v>0.1457</v>
      </c>
      <c r="N534" s="402">
        <v>1.77E-2</v>
      </c>
      <c r="O534" s="396" t="s">
        <v>154</v>
      </c>
      <c r="P534" s="378">
        <v>1</v>
      </c>
      <c r="Q534" s="379" t="s">
        <v>194</v>
      </c>
      <c r="R534" s="320">
        <v>373885</v>
      </c>
      <c r="S534" s="320">
        <f t="shared" si="235"/>
        <v>10018410</v>
      </c>
      <c r="T534" s="389">
        <v>1700000</v>
      </c>
      <c r="U534" s="382">
        <f t="shared" si="237"/>
        <v>1522674.1429999999</v>
      </c>
      <c r="V534" s="315" t="s">
        <v>150</v>
      </c>
      <c r="W534" s="22" t="s">
        <v>78</v>
      </c>
      <c r="X534" s="315">
        <v>3.55</v>
      </c>
      <c r="Y534" s="315" t="s">
        <v>151</v>
      </c>
      <c r="Z534" s="315"/>
      <c r="AA534" s="315" t="s">
        <v>38</v>
      </c>
      <c r="AB534" s="393">
        <f t="shared" si="233"/>
        <v>54475.044499999996</v>
      </c>
      <c r="AC534" s="315" t="s">
        <v>38</v>
      </c>
      <c r="AD534" s="15">
        <f t="shared" si="234"/>
        <v>1327.2917500000001</v>
      </c>
      <c r="AE534" s="315" t="s">
        <v>38</v>
      </c>
      <c r="AF534" s="323" t="s">
        <v>38</v>
      </c>
    </row>
    <row r="535" spans="1:32" ht="14.25">
      <c r="A535" s="420" t="s">
        <v>106</v>
      </c>
      <c r="B535" s="315" t="s">
        <v>36</v>
      </c>
      <c r="C535" s="316" t="s">
        <v>195</v>
      </c>
      <c r="D535" s="31">
        <v>130040670027765</v>
      </c>
      <c r="E535" s="315" t="s">
        <v>0</v>
      </c>
      <c r="F535" s="315" t="s">
        <v>124</v>
      </c>
      <c r="G535" s="317" t="s">
        <v>76</v>
      </c>
      <c r="H535" s="317">
        <v>2024</v>
      </c>
      <c r="I535" s="334">
        <v>12</v>
      </c>
      <c r="J535" s="338">
        <v>45660</v>
      </c>
      <c r="K535" s="318" t="s">
        <v>38</v>
      </c>
      <c r="L535" s="402">
        <v>3.2000000000000001E-2</v>
      </c>
      <c r="M535" s="402">
        <v>3.9899999999999998E-2</v>
      </c>
      <c r="N535" s="402">
        <v>7.9000000000000008E-3</v>
      </c>
      <c r="O535" s="396" t="s">
        <v>154</v>
      </c>
      <c r="P535" s="378">
        <v>1</v>
      </c>
      <c r="Q535" s="379" t="s">
        <v>196</v>
      </c>
      <c r="R535" s="424">
        <v>2681797</v>
      </c>
      <c r="S535" s="320">
        <f t="shared" si="235"/>
        <v>56165075</v>
      </c>
      <c r="T535" s="389">
        <v>1520000</v>
      </c>
      <c r="U535" s="382">
        <f t="shared" si="237"/>
        <v>1076295.9075</v>
      </c>
      <c r="V535" s="315" t="s">
        <v>150</v>
      </c>
      <c r="W535" s="22" t="s">
        <v>78</v>
      </c>
      <c r="X535" s="315">
        <v>0.56999999999999995</v>
      </c>
      <c r="Y535" s="315" t="s">
        <v>151</v>
      </c>
      <c r="Z535" s="315"/>
      <c r="AA535" s="315" t="s">
        <v>38</v>
      </c>
      <c r="AB535" s="393">
        <f t="shared" si="233"/>
        <v>107003.7003</v>
      </c>
      <c r="AC535" s="315" t="s">
        <v>38</v>
      </c>
      <c r="AD535" s="15">
        <f t="shared" si="234"/>
        <v>1528.6242899999997</v>
      </c>
      <c r="AE535" s="315" t="s">
        <v>38</v>
      </c>
      <c r="AF535" s="323" t="s">
        <v>38</v>
      </c>
    </row>
    <row r="536" spans="1:32" ht="14.25">
      <c r="A536" s="420" t="s">
        <v>106</v>
      </c>
      <c r="B536" s="315" t="s">
        <v>36</v>
      </c>
      <c r="C536" s="316" t="s">
        <v>162</v>
      </c>
      <c r="D536" s="31">
        <v>130040670018929</v>
      </c>
      <c r="E536" s="315" t="s">
        <v>0</v>
      </c>
      <c r="F536" s="315" t="s">
        <v>113</v>
      </c>
      <c r="G536" s="317" t="s">
        <v>76</v>
      </c>
      <c r="H536" s="317">
        <v>2024</v>
      </c>
      <c r="I536" s="334">
        <v>12</v>
      </c>
      <c r="J536" s="338">
        <v>45660</v>
      </c>
      <c r="K536" s="318" t="s">
        <v>38</v>
      </c>
      <c r="L536" s="402">
        <v>5.3999999999999999E-2</v>
      </c>
      <c r="M536" s="402">
        <v>6.3399999999999998E-2</v>
      </c>
      <c r="N536" s="402">
        <v>9.4000000000000004E-3</v>
      </c>
      <c r="O536" s="396" t="s">
        <v>154</v>
      </c>
      <c r="P536" s="378">
        <v>1</v>
      </c>
      <c r="Q536" s="379" t="s">
        <v>197</v>
      </c>
      <c r="R536" s="320">
        <v>1024500</v>
      </c>
      <c r="S536" s="320">
        <f t="shared" si="235"/>
        <v>18771635</v>
      </c>
      <c r="T536" s="389">
        <v>902000</v>
      </c>
      <c r="U536" s="382">
        <f t="shared" si="237"/>
        <v>725546.63100000005</v>
      </c>
      <c r="V536" s="315" t="s">
        <v>150</v>
      </c>
      <c r="W536" s="22" t="s">
        <v>78</v>
      </c>
      <c r="X536" s="315">
        <v>0.65</v>
      </c>
      <c r="Y536" s="315" t="s">
        <v>151</v>
      </c>
      <c r="Z536" s="315"/>
      <c r="AA536" s="315" t="s">
        <v>38</v>
      </c>
      <c r="AB536" s="393">
        <f t="shared" si="233"/>
        <v>64953.299999999996</v>
      </c>
      <c r="AC536" s="315" t="s">
        <v>38</v>
      </c>
      <c r="AD536" s="15">
        <f t="shared" si="234"/>
        <v>665.92499999999995</v>
      </c>
      <c r="AE536" s="315" t="s">
        <v>38</v>
      </c>
      <c r="AF536" s="323" t="s">
        <v>38</v>
      </c>
    </row>
    <row r="537" spans="1:32" ht="14.25">
      <c r="A537" s="420" t="s">
        <v>106</v>
      </c>
      <c r="B537" s="315" t="s">
        <v>36</v>
      </c>
      <c r="C537" s="316" t="s">
        <v>160</v>
      </c>
      <c r="D537" s="31">
        <v>130040670018930</v>
      </c>
      <c r="E537" s="315" t="s">
        <v>0</v>
      </c>
      <c r="F537" s="315" t="s">
        <v>113</v>
      </c>
      <c r="G537" s="317" t="s">
        <v>76</v>
      </c>
      <c r="H537" s="317">
        <v>2024</v>
      </c>
      <c r="I537" s="334">
        <v>12</v>
      </c>
      <c r="J537" s="338">
        <v>45660</v>
      </c>
      <c r="K537" s="318" t="s">
        <v>38</v>
      </c>
      <c r="L537" s="402">
        <v>0.08</v>
      </c>
      <c r="M537" s="402">
        <v>9.0700000000000003E-2</v>
      </c>
      <c r="N537" s="402">
        <v>1.0699999999999999E-2</v>
      </c>
      <c r="O537" s="396" t="s">
        <v>154</v>
      </c>
      <c r="P537" s="378">
        <v>1</v>
      </c>
      <c r="Q537" s="379" t="s">
        <v>198</v>
      </c>
      <c r="R537" s="320">
        <v>1026000</v>
      </c>
      <c r="S537" s="320">
        <f t="shared" si="235"/>
        <v>18964000</v>
      </c>
      <c r="T537" s="389">
        <v>1028000</v>
      </c>
      <c r="U537" s="382">
        <f t="shared" si="237"/>
        <v>825085.2</v>
      </c>
      <c r="V537" s="315" t="s">
        <v>150</v>
      </c>
      <c r="W537" s="22" t="s">
        <v>78</v>
      </c>
      <c r="X537" s="315">
        <v>1.2</v>
      </c>
      <c r="Y537" s="315" t="s">
        <v>151</v>
      </c>
      <c r="Z537" s="315"/>
      <c r="AA537" s="315" t="s">
        <v>38</v>
      </c>
      <c r="AB537" s="393">
        <f t="shared" si="233"/>
        <v>93058.2</v>
      </c>
      <c r="AC537" s="315" t="s">
        <v>38</v>
      </c>
      <c r="AD537" s="15">
        <f t="shared" si="234"/>
        <v>1231.2</v>
      </c>
      <c r="AE537" s="315" t="s">
        <v>38</v>
      </c>
      <c r="AF537" s="323" t="s">
        <v>38</v>
      </c>
    </row>
    <row r="538" spans="1:32" ht="14.25">
      <c r="A538" s="420" t="s">
        <v>106</v>
      </c>
      <c r="B538" s="315" t="s">
        <v>36</v>
      </c>
      <c r="C538" s="316" t="s">
        <v>199</v>
      </c>
      <c r="D538" s="31">
        <v>130040670018925</v>
      </c>
      <c r="E538" s="315" t="s">
        <v>0</v>
      </c>
      <c r="F538" s="315" t="s">
        <v>113</v>
      </c>
      <c r="G538" s="317" t="s">
        <v>76</v>
      </c>
      <c r="H538" s="317">
        <v>2024</v>
      </c>
      <c r="I538" s="334">
        <v>12</v>
      </c>
      <c r="J538" s="338">
        <v>45660</v>
      </c>
      <c r="K538" s="318" t="s">
        <v>38</v>
      </c>
      <c r="L538" s="402">
        <v>3.6999999999999998E-2</v>
      </c>
      <c r="M538" s="402">
        <v>4.24E-2</v>
      </c>
      <c r="N538" s="402">
        <v>5.4000000000000003E-3</v>
      </c>
      <c r="O538" s="396" t="s">
        <v>154</v>
      </c>
      <c r="P538" s="378">
        <v>1</v>
      </c>
      <c r="Q538" s="379" t="s">
        <v>200</v>
      </c>
      <c r="R538" s="320">
        <v>1008000</v>
      </c>
      <c r="S538" s="320">
        <f t="shared" si="235"/>
        <v>18648540</v>
      </c>
      <c r="T538" s="389">
        <v>514000</v>
      </c>
      <c r="U538" s="382">
        <f t="shared" si="237"/>
        <v>413297.88399999996</v>
      </c>
      <c r="V538" s="315" t="s">
        <v>150</v>
      </c>
      <c r="W538" s="22" t="s">
        <v>78</v>
      </c>
      <c r="X538" s="315">
        <v>0.9</v>
      </c>
      <c r="Y538" s="315" t="s">
        <v>151</v>
      </c>
      <c r="Z538" s="315"/>
      <c r="AA538" s="315" t="s">
        <v>38</v>
      </c>
      <c r="AB538" s="393">
        <f t="shared" si="233"/>
        <v>42739.199999999997</v>
      </c>
      <c r="AC538" s="315" t="s">
        <v>38</v>
      </c>
      <c r="AD538" s="15">
        <f t="shared" si="234"/>
        <v>907.2</v>
      </c>
      <c r="AE538" s="315" t="s">
        <v>38</v>
      </c>
      <c r="AF538" s="323" t="s">
        <v>38</v>
      </c>
    </row>
    <row r="539" spans="1:32" ht="14.25">
      <c r="A539" s="420" t="s">
        <v>86</v>
      </c>
      <c r="B539" s="315" t="s">
        <v>36</v>
      </c>
      <c r="C539" s="316" t="s">
        <v>201</v>
      </c>
      <c r="D539" s="31">
        <v>310493191000</v>
      </c>
      <c r="E539" s="315" t="s">
        <v>0</v>
      </c>
      <c r="F539" s="315" t="s">
        <v>128</v>
      </c>
      <c r="G539" s="317" t="s">
        <v>76</v>
      </c>
      <c r="H539" s="317">
        <v>2024</v>
      </c>
      <c r="I539" s="334">
        <v>12</v>
      </c>
      <c r="J539" s="338">
        <v>45660</v>
      </c>
      <c r="K539" s="318" t="s">
        <v>38</v>
      </c>
      <c r="L539" s="402">
        <v>0.28620000000000001</v>
      </c>
      <c r="M539" s="402">
        <v>0.28620000000000001</v>
      </c>
      <c r="N539" s="402">
        <v>0</v>
      </c>
      <c r="O539" s="396" t="s">
        <v>154</v>
      </c>
      <c r="P539" s="378">
        <v>1</v>
      </c>
      <c r="Q539" s="379" t="s">
        <v>203</v>
      </c>
      <c r="R539" s="315">
        <v>0</v>
      </c>
      <c r="S539" s="320">
        <f t="shared" si="235"/>
        <v>48492176</v>
      </c>
      <c r="T539" s="389">
        <v>5970000</v>
      </c>
      <c r="U539" s="382">
        <f t="shared" si="237"/>
        <v>5970000</v>
      </c>
      <c r="V539" s="319" t="s">
        <v>204</v>
      </c>
      <c r="W539" s="22" t="s">
        <v>78</v>
      </c>
      <c r="X539" s="315">
        <v>4.03</v>
      </c>
      <c r="Y539" s="315" t="s">
        <v>151</v>
      </c>
      <c r="Z539" s="315"/>
      <c r="AA539" s="315" t="s">
        <v>38</v>
      </c>
      <c r="AB539" s="393">
        <f t="shared" si="233"/>
        <v>0</v>
      </c>
      <c r="AC539" s="315" t="s">
        <v>38</v>
      </c>
      <c r="AD539" s="15">
        <f t="shared" si="234"/>
        <v>0</v>
      </c>
      <c r="AE539" s="315" t="s">
        <v>38</v>
      </c>
      <c r="AF539" s="323" t="s">
        <v>38</v>
      </c>
    </row>
    <row r="540" spans="1:32" ht="14.25">
      <c r="A540" s="420" t="s">
        <v>86</v>
      </c>
      <c r="B540" s="315" t="s">
        <v>36</v>
      </c>
      <c r="C540" s="316" t="s">
        <v>205</v>
      </c>
      <c r="D540" s="31">
        <v>310493192000</v>
      </c>
      <c r="E540" s="315" t="s">
        <v>0</v>
      </c>
      <c r="F540" s="315" t="s">
        <v>128</v>
      </c>
      <c r="G540" s="317" t="s">
        <v>76</v>
      </c>
      <c r="H540" s="317">
        <v>2024</v>
      </c>
      <c r="I540" s="334">
        <v>12</v>
      </c>
      <c r="J540" s="338">
        <v>45660</v>
      </c>
      <c r="K540" s="318" t="s">
        <v>38</v>
      </c>
      <c r="L540" s="402">
        <v>4.5900000000000003E-2</v>
      </c>
      <c r="M540" s="402">
        <v>4.5900000000000003E-2</v>
      </c>
      <c r="N540" s="402">
        <v>0</v>
      </c>
      <c r="O540" s="396" t="s">
        <v>154</v>
      </c>
      <c r="P540" s="378">
        <v>1</v>
      </c>
      <c r="Q540" s="379" t="s">
        <v>206</v>
      </c>
      <c r="R540" s="315">
        <v>0</v>
      </c>
      <c r="S540" s="320">
        <f t="shared" si="235"/>
        <v>51213261</v>
      </c>
      <c r="T540" s="389">
        <v>2514000</v>
      </c>
      <c r="U540" s="382">
        <f t="shared" si="237"/>
        <v>2514000</v>
      </c>
      <c r="V540" s="319" t="s">
        <v>204</v>
      </c>
      <c r="W540" s="22" t="s">
        <v>78</v>
      </c>
      <c r="X540" s="315">
        <v>0.43</v>
      </c>
      <c r="Y540" s="315" t="s">
        <v>151</v>
      </c>
      <c r="Z540" s="315"/>
      <c r="AA540" s="315" t="s">
        <v>38</v>
      </c>
      <c r="AB540" s="393">
        <f t="shared" si="233"/>
        <v>0</v>
      </c>
      <c r="AC540" s="315" t="s">
        <v>38</v>
      </c>
      <c r="AD540" s="15">
        <f t="shared" si="234"/>
        <v>0</v>
      </c>
      <c r="AE540" s="315" t="s">
        <v>38</v>
      </c>
      <c r="AF540" s="323" t="s">
        <v>38</v>
      </c>
    </row>
    <row r="541" spans="1:32" ht="14.25">
      <c r="A541" s="420" t="s">
        <v>86</v>
      </c>
      <c r="B541" s="315" t="s">
        <v>36</v>
      </c>
      <c r="C541" s="316" t="s">
        <v>207</v>
      </c>
      <c r="D541" s="31">
        <v>310493193000</v>
      </c>
      <c r="E541" s="315" t="s">
        <v>0</v>
      </c>
      <c r="F541" s="315" t="s">
        <v>128</v>
      </c>
      <c r="G541" s="317" t="s">
        <v>76</v>
      </c>
      <c r="H541" s="317">
        <v>2024</v>
      </c>
      <c r="I541" s="334">
        <v>12</v>
      </c>
      <c r="J541" s="338">
        <v>45660</v>
      </c>
      <c r="K541" s="318" t="s">
        <v>38</v>
      </c>
      <c r="L541" s="402">
        <v>6.8099999999999994E-2</v>
      </c>
      <c r="M541" s="402">
        <v>6.8099999999999994E-2</v>
      </c>
      <c r="N541" s="402">
        <v>0</v>
      </c>
      <c r="O541" s="396" t="s">
        <v>154</v>
      </c>
      <c r="P541" s="378">
        <v>1</v>
      </c>
      <c r="Q541" s="379" t="s">
        <v>208</v>
      </c>
      <c r="R541" s="315">
        <v>0</v>
      </c>
      <c r="S541" s="320">
        <v>48387960</v>
      </c>
      <c r="T541" s="389">
        <v>2968000</v>
      </c>
      <c r="U541" s="382">
        <f t="shared" si="237"/>
        <v>2968000</v>
      </c>
      <c r="V541" s="319" t="s">
        <v>204</v>
      </c>
      <c r="W541" s="22" t="s">
        <v>78</v>
      </c>
      <c r="X541" s="315">
        <v>0.6</v>
      </c>
      <c r="Y541" s="315" t="s">
        <v>151</v>
      </c>
      <c r="Z541" s="315"/>
      <c r="AA541" s="315" t="s">
        <v>38</v>
      </c>
      <c r="AB541" s="393">
        <f t="shared" si="233"/>
        <v>0</v>
      </c>
      <c r="AC541" s="315" t="s">
        <v>38</v>
      </c>
      <c r="AD541" s="15">
        <f t="shared" si="234"/>
        <v>0</v>
      </c>
      <c r="AE541" s="315" t="s">
        <v>38</v>
      </c>
      <c r="AF541" s="323" t="s">
        <v>38</v>
      </c>
    </row>
    <row r="542" spans="1:32" ht="14.25" customHeight="1">
      <c r="A542" s="420" t="s">
        <v>86</v>
      </c>
      <c r="B542" s="315" t="s">
        <v>36</v>
      </c>
      <c r="C542" s="316" t="s">
        <v>209</v>
      </c>
      <c r="D542" s="31">
        <v>310493194000</v>
      </c>
      <c r="E542" s="315" t="s">
        <v>0</v>
      </c>
      <c r="F542" s="315" t="s">
        <v>128</v>
      </c>
      <c r="G542" s="317" t="s">
        <v>76</v>
      </c>
      <c r="H542" s="317">
        <v>2024</v>
      </c>
      <c r="I542" s="334">
        <v>12</v>
      </c>
      <c r="J542" s="338">
        <v>45660</v>
      </c>
      <c r="K542" s="318" t="s">
        <v>38</v>
      </c>
      <c r="L542" s="402">
        <v>7.0999999999999994E-2</v>
      </c>
      <c r="M542" s="402">
        <v>7.0999999999999994E-2</v>
      </c>
      <c r="N542" s="402">
        <v>0</v>
      </c>
      <c r="O542" s="396" t="s">
        <v>154</v>
      </c>
      <c r="P542" s="378">
        <v>1</v>
      </c>
      <c r="Q542" s="379" t="s">
        <v>210</v>
      </c>
      <c r="R542" s="320">
        <v>83543</v>
      </c>
      <c r="S542" s="320">
        <f t="shared" ref="S542:S547" si="238">R542+S508</f>
        <v>64498272</v>
      </c>
      <c r="T542" s="389">
        <v>3400000</v>
      </c>
      <c r="U542" s="382">
        <f t="shared" si="237"/>
        <v>3400000</v>
      </c>
      <c r="V542" s="324" t="s">
        <v>92</v>
      </c>
      <c r="W542" s="22" t="s">
        <v>78</v>
      </c>
      <c r="X542" s="315">
        <v>1</v>
      </c>
      <c r="Y542" s="315" t="s">
        <v>157</v>
      </c>
      <c r="Z542" s="315"/>
      <c r="AA542" s="315" t="s">
        <v>38</v>
      </c>
      <c r="AB542" s="393">
        <f t="shared" si="233"/>
        <v>5931.5529999999999</v>
      </c>
      <c r="AC542" s="315" t="s">
        <v>38</v>
      </c>
      <c r="AD542" s="15">
        <f t="shared" si="234"/>
        <v>83.543000000000006</v>
      </c>
      <c r="AE542" s="315" t="s">
        <v>211</v>
      </c>
      <c r="AF542" s="323" t="s">
        <v>38</v>
      </c>
    </row>
    <row r="543" spans="1:32" ht="14.25" customHeight="1">
      <c r="A543" s="420" t="s">
        <v>86</v>
      </c>
      <c r="B543" s="315" t="s">
        <v>36</v>
      </c>
      <c r="C543" s="316" t="s">
        <v>212</v>
      </c>
      <c r="D543" s="262">
        <v>310493196000</v>
      </c>
      <c r="E543" s="315" t="s">
        <v>0</v>
      </c>
      <c r="F543" s="315" t="s">
        <v>128</v>
      </c>
      <c r="G543" s="317" t="s">
        <v>76</v>
      </c>
      <c r="H543" s="317">
        <v>2024</v>
      </c>
      <c r="I543" s="334">
        <v>12</v>
      </c>
      <c r="J543" s="338">
        <v>45660</v>
      </c>
      <c r="K543" s="318" t="s">
        <v>38</v>
      </c>
      <c r="L543" s="402">
        <v>4.1200000000000001E-2</v>
      </c>
      <c r="M543" s="402">
        <v>4.1200000000000001E-2</v>
      </c>
      <c r="N543" s="402">
        <v>0</v>
      </c>
      <c r="O543" s="396" t="s">
        <v>154</v>
      </c>
      <c r="P543" s="378">
        <v>1</v>
      </c>
      <c r="Q543" s="379" t="s">
        <v>213</v>
      </c>
      <c r="R543" s="320">
        <v>60594</v>
      </c>
      <c r="S543" s="320">
        <f t="shared" si="238"/>
        <v>35571600</v>
      </c>
      <c r="T543" s="389">
        <v>1650000</v>
      </c>
      <c r="U543" s="382">
        <f t="shared" si="237"/>
        <v>1650000</v>
      </c>
      <c r="V543" s="324" t="s">
        <v>92</v>
      </c>
      <c r="W543" s="22" t="s">
        <v>78</v>
      </c>
      <c r="X543" s="315">
        <v>0.47</v>
      </c>
      <c r="Y543" s="315" t="s">
        <v>157</v>
      </c>
      <c r="Z543" s="315"/>
      <c r="AA543" s="315" t="s">
        <v>38</v>
      </c>
      <c r="AB543" s="393">
        <f t="shared" si="233"/>
        <v>2496.4728</v>
      </c>
      <c r="AC543" s="315" t="s">
        <v>38</v>
      </c>
      <c r="AD543" s="15">
        <f t="shared" si="234"/>
        <v>28.479179999999996</v>
      </c>
      <c r="AE543" s="315" t="s">
        <v>38</v>
      </c>
      <c r="AF543" s="323" t="s">
        <v>38</v>
      </c>
    </row>
    <row r="544" spans="1:32" ht="14.25">
      <c r="A544" s="420" t="s">
        <v>18</v>
      </c>
      <c r="B544" s="315" t="s">
        <v>34</v>
      </c>
      <c r="C544" s="315" t="s">
        <v>147</v>
      </c>
      <c r="D544" s="31">
        <v>130040670029868</v>
      </c>
      <c r="E544" s="315" t="s">
        <v>0</v>
      </c>
      <c r="F544" s="315" t="s">
        <v>128</v>
      </c>
      <c r="G544" s="317" t="s">
        <v>76</v>
      </c>
      <c r="H544" s="317">
        <v>2024</v>
      </c>
      <c r="I544" s="334">
        <v>12</v>
      </c>
      <c r="J544" s="338">
        <v>45660</v>
      </c>
      <c r="K544" s="318" t="s">
        <v>38</v>
      </c>
      <c r="L544" s="402">
        <v>0.1802</v>
      </c>
      <c r="M544" s="402">
        <v>0.21870000000000001</v>
      </c>
      <c r="N544" s="402">
        <v>3.3099999999999997E-2</v>
      </c>
      <c r="O544" s="396" t="s">
        <v>154</v>
      </c>
      <c r="P544" s="378">
        <v>1</v>
      </c>
      <c r="Q544" s="379" t="s">
        <v>214</v>
      </c>
      <c r="R544" s="320">
        <v>11581920</v>
      </c>
      <c r="S544" s="320">
        <f t="shared" si="238"/>
        <v>91811846</v>
      </c>
      <c r="T544" s="389">
        <v>8913207</v>
      </c>
      <c r="U544" s="382">
        <f t="shared" si="237"/>
        <v>5874234.8974000001</v>
      </c>
      <c r="V544" s="315" t="s">
        <v>167</v>
      </c>
      <c r="W544" s="22" t="s">
        <v>78</v>
      </c>
      <c r="X544" s="315">
        <v>3.8</v>
      </c>
      <c r="Y544" s="321" t="s">
        <v>168</v>
      </c>
      <c r="Z544" s="321"/>
      <c r="AA544" s="315" t="s">
        <v>38</v>
      </c>
      <c r="AB544" s="393">
        <f t="shared" si="233"/>
        <v>2532965.9040000001</v>
      </c>
      <c r="AC544" s="315" t="s">
        <v>38</v>
      </c>
      <c r="AD544" s="15">
        <f t="shared" si="234"/>
        <v>44011.296000000002</v>
      </c>
      <c r="AE544" s="315" t="s">
        <v>38</v>
      </c>
      <c r="AF544" s="323" t="s">
        <v>38</v>
      </c>
    </row>
    <row r="545" spans="1:32" ht="14.25">
      <c r="A545" s="420" t="s">
        <v>18</v>
      </c>
      <c r="B545" s="315" t="s">
        <v>34</v>
      </c>
      <c r="C545" s="316" t="s">
        <v>215</v>
      </c>
      <c r="D545" s="31">
        <v>130040670020898</v>
      </c>
      <c r="E545" s="315" t="s">
        <v>0</v>
      </c>
      <c r="F545" s="315" t="s">
        <v>128</v>
      </c>
      <c r="G545" s="317" t="s">
        <v>76</v>
      </c>
      <c r="H545" s="317">
        <v>2024</v>
      </c>
      <c r="I545" s="334">
        <v>12</v>
      </c>
      <c r="J545" s="338">
        <v>45660</v>
      </c>
      <c r="K545" s="318" t="s">
        <v>38</v>
      </c>
      <c r="L545" s="402">
        <v>5.0299999999999997E-2</v>
      </c>
      <c r="M545" s="402">
        <v>7.4499999999999997E-2</v>
      </c>
      <c r="N545" s="402">
        <v>2.4199999999999999E-2</v>
      </c>
      <c r="O545" s="396" t="s">
        <v>154</v>
      </c>
      <c r="P545" s="378">
        <v>1</v>
      </c>
      <c r="Q545" s="379" t="s">
        <v>216</v>
      </c>
      <c r="R545" s="320">
        <v>11186396</v>
      </c>
      <c r="S545" s="320">
        <f t="shared" si="238"/>
        <v>99024798</v>
      </c>
      <c r="T545" s="389">
        <v>5799197</v>
      </c>
      <c r="U545" s="382">
        <f t="shared" si="237"/>
        <v>3402796.8884000001</v>
      </c>
      <c r="V545" s="315" t="s">
        <v>150</v>
      </c>
      <c r="W545" s="22" t="s">
        <v>78</v>
      </c>
      <c r="X545" s="315">
        <v>0.24</v>
      </c>
      <c r="Y545" s="315" t="s">
        <v>151</v>
      </c>
      <c r="Z545" s="315"/>
      <c r="AA545" s="315" t="s">
        <v>38</v>
      </c>
      <c r="AB545" s="393">
        <f t="shared" si="233"/>
        <v>833386.50199999998</v>
      </c>
      <c r="AC545" s="315" t="s">
        <v>38</v>
      </c>
      <c r="AD545" s="15">
        <f t="shared" si="234"/>
        <v>2684.73504</v>
      </c>
      <c r="AE545" s="315" t="s">
        <v>38</v>
      </c>
      <c r="AF545" s="323" t="s">
        <v>38</v>
      </c>
    </row>
    <row r="546" spans="1:32" ht="14.25">
      <c r="A546" s="420" t="s">
        <v>18</v>
      </c>
      <c r="B546" s="315" t="s">
        <v>34</v>
      </c>
      <c r="C546" s="316" t="s">
        <v>162</v>
      </c>
      <c r="D546" s="31">
        <v>130040670020899</v>
      </c>
      <c r="E546" s="315" t="s">
        <v>0</v>
      </c>
      <c r="F546" s="315" t="s">
        <v>128</v>
      </c>
      <c r="G546" s="317" t="s">
        <v>76</v>
      </c>
      <c r="H546" s="317">
        <v>2024</v>
      </c>
      <c r="I546" s="334">
        <v>12</v>
      </c>
      <c r="J546" s="338">
        <v>45660</v>
      </c>
      <c r="K546" s="318" t="s">
        <v>38</v>
      </c>
      <c r="L546" s="402">
        <v>6.2700000000000006E-2</v>
      </c>
      <c r="M546" s="402">
        <v>8.7300000000000003E-2</v>
      </c>
      <c r="N546" s="402">
        <v>2.46E-2</v>
      </c>
      <c r="O546" s="396" t="s">
        <v>154</v>
      </c>
      <c r="P546" s="378">
        <v>1</v>
      </c>
      <c r="Q546" s="379" t="s">
        <v>217</v>
      </c>
      <c r="R546" s="320">
        <v>11132000</v>
      </c>
      <c r="S546" s="320">
        <f t="shared" si="238"/>
        <v>98448647</v>
      </c>
      <c r="T546" s="389">
        <v>5893484</v>
      </c>
      <c r="U546" s="382">
        <f t="shared" si="237"/>
        <v>3471647.2837999999</v>
      </c>
      <c r="V546" s="315" t="s">
        <v>150</v>
      </c>
      <c r="W546" s="22" t="s">
        <v>78</v>
      </c>
      <c r="X546" s="315">
        <v>0.53</v>
      </c>
      <c r="Y546" s="315" t="s">
        <v>151</v>
      </c>
      <c r="Z546" s="315"/>
      <c r="AA546" s="315" t="s">
        <v>38</v>
      </c>
      <c r="AB546" s="393">
        <f t="shared" si="233"/>
        <v>971823.6</v>
      </c>
      <c r="AC546" s="315" t="s">
        <v>38</v>
      </c>
      <c r="AD546" s="15">
        <f t="shared" si="234"/>
        <v>5899.96</v>
      </c>
      <c r="AE546" s="315" t="s">
        <v>38</v>
      </c>
      <c r="AF546" s="323" t="s">
        <v>38</v>
      </c>
    </row>
    <row r="547" spans="1:32" ht="15" customHeight="1">
      <c r="A547" s="417" t="s">
        <v>130</v>
      </c>
      <c r="B547" s="310" t="s">
        <v>36</v>
      </c>
      <c r="C547" s="311" t="s">
        <v>147</v>
      </c>
      <c r="D547" s="31">
        <v>130040670023444</v>
      </c>
      <c r="E547" s="310" t="s">
        <v>0</v>
      </c>
      <c r="F547" s="310" t="s">
        <v>128</v>
      </c>
      <c r="G547" s="312" t="s">
        <v>76</v>
      </c>
      <c r="H547" s="312">
        <v>2025</v>
      </c>
      <c r="I547" s="334">
        <v>1</v>
      </c>
      <c r="J547" s="338">
        <v>45702</v>
      </c>
      <c r="K547" s="313" t="s">
        <v>38</v>
      </c>
      <c r="L547" s="403">
        <v>0.7006</v>
      </c>
      <c r="M547" s="403">
        <v>0.7419</v>
      </c>
      <c r="N547" s="403">
        <v>4.1300000000000003E-2</v>
      </c>
      <c r="O547" s="396" t="s">
        <v>154</v>
      </c>
      <c r="P547" s="376">
        <v>1</v>
      </c>
      <c r="Q547" s="377" t="s">
        <v>149</v>
      </c>
      <c r="R547" s="421">
        <v>78656</v>
      </c>
      <c r="S547" s="314">
        <f t="shared" si="238"/>
        <v>11281038</v>
      </c>
      <c r="T547" s="411">
        <v>1980000</v>
      </c>
      <c r="U547" s="382">
        <f>T547-N547*S547</f>
        <v>1514093.1306</v>
      </c>
      <c r="V547" s="310" t="s">
        <v>150</v>
      </c>
      <c r="W547" s="22" t="s">
        <v>78</v>
      </c>
      <c r="X547" s="310">
        <v>10.1</v>
      </c>
      <c r="Y547" s="310" t="s">
        <v>151</v>
      </c>
      <c r="Z547" s="310"/>
      <c r="AA547" s="310" t="s">
        <v>38</v>
      </c>
      <c r="AB547" s="393">
        <f t="shared" ref="AB547:AB609" si="239">M547*R547</f>
        <v>58354.886400000003</v>
      </c>
      <c r="AC547" s="310" t="s">
        <v>38</v>
      </c>
      <c r="AD547" s="15">
        <f t="shared" ref="AD547:AD609" si="240">R547*X547/1000</f>
        <v>794.42560000000003</v>
      </c>
      <c r="AE547" s="310" t="s">
        <v>38</v>
      </c>
      <c r="AF547" s="309" t="s">
        <v>38</v>
      </c>
    </row>
    <row r="548" spans="1:32" ht="15" customHeight="1">
      <c r="A548" s="418" t="s">
        <v>130</v>
      </c>
      <c r="B548" s="315" t="s">
        <v>36</v>
      </c>
      <c r="C548" s="316" t="s">
        <v>152</v>
      </c>
      <c r="D548" s="31">
        <v>130040670023440</v>
      </c>
      <c r="E548" s="315" t="s">
        <v>0</v>
      </c>
      <c r="F548" s="315" t="s">
        <v>153</v>
      </c>
      <c r="G548" s="317" t="s">
        <v>76</v>
      </c>
      <c r="H548" s="312">
        <v>2025</v>
      </c>
      <c r="I548" s="334">
        <v>1</v>
      </c>
      <c r="J548" s="338">
        <v>45702</v>
      </c>
      <c r="K548" s="318" t="s">
        <v>38</v>
      </c>
      <c r="L548" s="402">
        <v>0.12970000000000001</v>
      </c>
      <c r="M548" s="402">
        <v>0.15260000000000001</v>
      </c>
      <c r="N548" s="402">
        <v>2.29E-2</v>
      </c>
      <c r="O548" s="396" t="s">
        <v>154</v>
      </c>
      <c r="P548" s="378">
        <v>1</v>
      </c>
      <c r="Q548" s="379" t="s">
        <v>155</v>
      </c>
      <c r="R548" s="421">
        <v>136899</v>
      </c>
      <c r="S548" s="320">
        <f t="shared" ref="S548:S575" si="241">R548+S514</f>
        <v>13297054</v>
      </c>
      <c r="T548" s="389">
        <v>1100000</v>
      </c>
      <c r="U548" s="382">
        <f>T548-N548*S548</f>
        <v>795497.46340000001</v>
      </c>
      <c r="V548" s="315" t="s">
        <v>156</v>
      </c>
      <c r="W548" s="22" t="s">
        <v>78</v>
      </c>
      <c r="X548" s="315">
        <v>2.4</v>
      </c>
      <c r="Y548" s="315" t="s">
        <v>157</v>
      </c>
      <c r="Z548" s="315"/>
      <c r="AA548" s="315" t="s">
        <v>38</v>
      </c>
      <c r="AB548" s="393">
        <f t="shared" si="239"/>
        <v>20890.787400000001</v>
      </c>
      <c r="AC548" s="315" t="s">
        <v>38</v>
      </c>
      <c r="AD548" s="15">
        <f t="shared" si="240"/>
        <v>328.55759999999998</v>
      </c>
      <c r="AE548" s="315" t="s">
        <v>38</v>
      </c>
      <c r="AF548" s="309" t="s">
        <v>38</v>
      </c>
    </row>
    <row r="549" spans="1:32" ht="15" customHeight="1">
      <c r="A549" s="418" t="s">
        <v>130</v>
      </c>
      <c r="B549" s="315" t="s">
        <v>36</v>
      </c>
      <c r="C549" s="316" t="s">
        <v>158</v>
      </c>
      <c r="D549" s="31">
        <v>130040670023442</v>
      </c>
      <c r="E549" s="315" t="s">
        <v>0</v>
      </c>
      <c r="F549" s="315" t="s">
        <v>153</v>
      </c>
      <c r="G549" s="317" t="s">
        <v>76</v>
      </c>
      <c r="H549" s="312">
        <v>2025</v>
      </c>
      <c r="I549" s="334">
        <v>1</v>
      </c>
      <c r="J549" s="338">
        <v>45702</v>
      </c>
      <c r="K549" s="318" t="s">
        <v>38</v>
      </c>
      <c r="L549" s="402">
        <v>0.1135</v>
      </c>
      <c r="M549" s="402">
        <v>0.1343</v>
      </c>
      <c r="N549" s="402">
        <v>2.0799999999999999E-2</v>
      </c>
      <c r="O549" s="396" t="s">
        <v>154</v>
      </c>
      <c r="P549" s="378">
        <v>1</v>
      </c>
      <c r="Q549" s="379" t="s">
        <v>159</v>
      </c>
      <c r="R549" s="421">
        <v>98856</v>
      </c>
      <c r="S549" s="320">
        <f t="shared" si="241"/>
        <v>12980197</v>
      </c>
      <c r="T549" s="389">
        <v>999000</v>
      </c>
      <c r="U549" s="382">
        <f t="shared" ref="U549" si="242">T549-N549*S549</f>
        <v>729011.90240000002</v>
      </c>
      <c r="V549" s="315" t="s">
        <v>156</v>
      </c>
      <c r="W549" s="22" t="s">
        <v>78</v>
      </c>
      <c r="X549" s="315">
        <v>1.8</v>
      </c>
      <c r="Y549" s="315" t="s">
        <v>157</v>
      </c>
      <c r="Z549" s="315"/>
      <c r="AA549" s="315" t="s">
        <v>38</v>
      </c>
      <c r="AB549" s="393">
        <f t="shared" si="239"/>
        <v>13276.3608</v>
      </c>
      <c r="AC549" s="315" t="s">
        <v>38</v>
      </c>
      <c r="AD549" s="15">
        <f t="shared" si="240"/>
        <v>177.94080000000002</v>
      </c>
      <c r="AE549" s="315" t="s">
        <v>38</v>
      </c>
      <c r="AF549" s="309" t="s">
        <v>38</v>
      </c>
    </row>
    <row r="550" spans="1:32" ht="15" customHeight="1">
      <c r="A550" s="418" t="s">
        <v>130</v>
      </c>
      <c r="B550" s="315" t="s">
        <v>36</v>
      </c>
      <c r="C550" s="316" t="s">
        <v>160</v>
      </c>
      <c r="D550" s="31">
        <v>130040670023448</v>
      </c>
      <c r="E550" s="315" t="s">
        <v>0</v>
      </c>
      <c r="F550" s="315" t="s">
        <v>153</v>
      </c>
      <c r="G550" s="317" t="s">
        <v>76</v>
      </c>
      <c r="H550" s="312">
        <v>2025</v>
      </c>
      <c r="I550" s="334">
        <v>1</v>
      </c>
      <c r="J550" s="338">
        <v>45702</v>
      </c>
      <c r="K550" s="318" t="s">
        <v>38</v>
      </c>
      <c r="L550" s="402">
        <v>0.1056</v>
      </c>
      <c r="M550" s="402">
        <v>0.11840000000000001</v>
      </c>
      <c r="N550" s="402">
        <v>1.2800000000000001E-2</v>
      </c>
      <c r="O550" s="396" t="s">
        <v>154</v>
      </c>
      <c r="P550" s="378">
        <v>1</v>
      </c>
      <c r="Q550" s="379" t="s">
        <v>161</v>
      </c>
      <c r="R550" s="421">
        <v>200000</v>
      </c>
      <c r="S550" s="320">
        <f t="shared" si="241"/>
        <v>10261092</v>
      </c>
      <c r="T550" s="389">
        <v>615000</v>
      </c>
      <c r="U550" s="382">
        <f>T550-N550*S550</f>
        <v>483658.02240000002</v>
      </c>
      <c r="V550" s="315" t="s">
        <v>150</v>
      </c>
      <c r="W550" s="22" t="s">
        <v>78</v>
      </c>
      <c r="X550" s="315">
        <v>1.4</v>
      </c>
      <c r="Y550" s="315" t="s">
        <v>151</v>
      </c>
      <c r="Z550" s="315"/>
      <c r="AA550" s="315" t="s">
        <v>38</v>
      </c>
      <c r="AB550" s="393">
        <f t="shared" si="239"/>
        <v>23680</v>
      </c>
      <c r="AC550" s="315" t="s">
        <v>38</v>
      </c>
      <c r="AD550" s="15">
        <f t="shared" si="240"/>
        <v>280</v>
      </c>
      <c r="AE550" s="315" t="s">
        <v>38</v>
      </c>
      <c r="AF550" s="309" t="s">
        <v>38</v>
      </c>
    </row>
    <row r="551" spans="1:32" ht="15" customHeight="1">
      <c r="A551" s="418" t="s">
        <v>130</v>
      </c>
      <c r="B551" s="315" t="s">
        <v>36</v>
      </c>
      <c r="C551" s="316" t="s">
        <v>162</v>
      </c>
      <c r="D551" s="31">
        <v>130040670023445</v>
      </c>
      <c r="E551" s="315" t="s">
        <v>0</v>
      </c>
      <c r="F551" s="315" t="s">
        <v>153</v>
      </c>
      <c r="G551" s="317" t="s">
        <v>76</v>
      </c>
      <c r="H551" s="312">
        <v>2025</v>
      </c>
      <c r="I551" s="334">
        <v>1</v>
      </c>
      <c r="J551" s="338">
        <v>45702</v>
      </c>
      <c r="K551" s="318" t="s">
        <v>38</v>
      </c>
      <c r="L551" s="402">
        <v>9.5299999999999996E-2</v>
      </c>
      <c r="M551" s="402">
        <v>0.1072</v>
      </c>
      <c r="N551" s="402">
        <v>1.1900000000000001E-2</v>
      </c>
      <c r="O551" s="396" t="s">
        <v>154</v>
      </c>
      <c r="P551" s="378">
        <v>1</v>
      </c>
      <c r="Q551" s="379" t="s">
        <v>163</v>
      </c>
      <c r="R551" s="421">
        <v>230000</v>
      </c>
      <c r="S551" s="320">
        <f t="shared" si="241"/>
        <v>10429610</v>
      </c>
      <c r="T551" s="389">
        <v>570000</v>
      </c>
      <c r="U551" s="382">
        <f t="shared" ref="U551:U580" si="243">T551-N551*S551</f>
        <v>445887.641</v>
      </c>
      <c r="V551" s="315" t="s">
        <v>150</v>
      </c>
      <c r="W551" s="22" t="s">
        <v>78</v>
      </c>
      <c r="X551" s="315">
        <v>1.2</v>
      </c>
      <c r="Y551" s="315" t="s">
        <v>151</v>
      </c>
      <c r="Z551" s="315"/>
      <c r="AA551" s="315" t="s">
        <v>38</v>
      </c>
      <c r="AB551" s="393">
        <f t="shared" si="239"/>
        <v>24656</v>
      </c>
      <c r="AC551" s="315" t="s">
        <v>38</v>
      </c>
      <c r="AD551" s="15">
        <f t="shared" si="240"/>
        <v>276</v>
      </c>
      <c r="AE551" s="315" t="s">
        <v>38</v>
      </c>
      <c r="AF551" s="309" t="s">
        <v>38</v>
      </c>
    </row>
    <row r="552" spans="1:32" ht="15" customHeight="1">
      <c r="A552" s="418" t="s">
        <v>130</v>
      </c>
      <c r="B552" s="315" t="s">
        <v>36</v>
      </c>
      <c r="C552" s="316" t="s">
        <v>165</v>
      </c>
      <c r="D552" s="31">
        <v>130040670023443</v>
      </c>
      <c r="E552" s="315" t="s">
        <v>0</v>
      </c>
      <c r="F552" s="315" t="s">
        <v>128</v>
      </c>
      <c r="G552" s="317" t="s">
        <v>76</v>
      </c>
      <c r="H552" s="312">
        <v>2025</v>
      </c>
      <c r="I552" s="334">
        <v>1</v>
      </c>
      <c r="J552" s="338">
        <v>45702</v>
      </c>
      <c r="K552" s="318" t="s">
        <v>38</v>
      </c>
      <c r="L552" s="402">
        <v>5.2299999999999999E-2</v>
      </c>
      <c r="M552" s="402">
        <v>5.8900000000000001E-2</v>
      </c>
      <c r="N552" s="402">
        <v>6.6E-3</v>
      </c>
      <c r="O552" s="396" t="s">
        <v>154</v>
      </c>
      <c r="P552" s="378">
        <v>1</v>
      </c>
      <c r="Q552" s="379" t="s">
        <v>166</v>
      </c>
      <c r="R552" s="422">
        <v>0</v>
      </c>
      <c r="S552" s="320">
        <f t="shared" si="241"/>
        <v>11079954</v>
      </c>
      <c r="T552" s="389">
        <v>315000</v>
      </c>
      <c r="U552" s="382">
        <f t="shared" si="243"/>
        <v>241872.30359999998</v>
      </c>
      <c r="V552" s="315" t="s">
        <v>167</v>
      </c>
      <c r="W552" s="22" t="s">
        <v>78</v>
      </c>
      <c r="X552" s="315">
        <v>1.06</v>
      </c>
      <c r="Y552" s="321" t="s">
        <v>168</v>
      </c>
      <c r="Z552" s="321"/>
      <c r="AA552" s="315" t="s">
        <v>38</v>
      </c>
      <c r="AB552" s="393">
        <f t="shared" si="239"/>
        <v>0</v>
      </c>
      <c r="AC552" s="315" t="s">
        <v>38</v>
      </c>
      <c r="AD552" s="15">
        <f t="shared" si="240"/>
        <v>0</v>
      </c>
      <c r="AE552" s="315" t="s">
        <v>38</v>
      </c>
      <c r="AF552" s="309" t="s">
        <v>38</v>
      </c>
    </row>
    <row r="553" spans="1:32" ht="15" customHeight="1">
      <c r="A553" s="418" t="s">
        <v>130</v>
      </c>
      <c r="B553" s="315" t="s">
        <v>36</v>
      </c>
      <c r="C553" s="316" t="s">
        <v>169</v>
      </c>
      <c r="D553" s="31">
        <v>130040670024534</v>
      </c>
      <c r="E553" s="315" t="s">
        <v>0</v>
      </c>
      <c r="F553" s="315" t="s">
        <v>153</v>
      </c>
      <c r="G553" s="317" t="s">
        <v>76</v>
      </c>
      <c r="H553" s="312">
        <v>2025</v>
      </c>
      <c r="I553" s="334">
        <v>1</v>
      </c>
      <c r="J553" s="338">
        <v>45702</v>
      </c>
      <c r="K553" s="318" t="s">
        <v>38</v>
      </c>
      <c r="L553" s="402">
        <v>3.4099999999999998E-2</v>
      </c>
      <c r="M553" s="402">
        <v>4.1300000000000003E-2</v>
      </c>
      <c r="N553" s="402">
        <v>7.1999999999999998E-3</v>
      </c>
      <c r="O553" s="396" t="s">
        <v>154</v>
      </c>
      <c r="P553" s="378">
        <v>1</v>
      </c>
      <c r="Q553" s="379" t="s">
        <v>170</v>
      </c>
      <c r="R553" s="421">
        <v>90000</v>
      </c>
      <c r="S553" s="320">
        <f t="shared" si="241"/>
        <v>13024090</v>
      </c>
      <c r="T553" s="389">
        <v>345000</v>
      </c>
      <c r="U553" s="382">
        <f t="shared" si="243"/>
        <v>251226.552</v>
      </c>
      <c r="V553" s="315" t="s">
        <v>171</v>
      </c>
      <c r="W553" s="22" t="s">
        <v>78</v>
      </c>
      <c r="X553" s="315">
        <v>0.27</v>
      </c>
      <c r="Y553" s="315" t="s">
        <v>172</v>
      </c>
      <c r="Z553" s="315"/>
      <c r="AA553" s="315" t="s">
        <v>38</v>
      </c>
      <c r="AB553" s="393">
        <f t="shared" si="239"/>
        <v>3717.0000000000005</v>
      </c>
      <c r="AC553" s="315" t="s">
        <v>38</v>
      </c>
      <c r="AD553" s="15">
        <f t="shared" si="240"/>
        <v>24.3</v>
      </c>
      <c r="AE553" s="315" t="s">
        <v>38</v>
      </c>
      <c r="AF553" s="309" t="s">
        <v>38</v>
      </c>
    </row>
    <row r="554" spans="1:32" ht="15" customHeight="1">
      <c r="A554" s="418" t="s">
        <v>127</v>
      </c>
      <c r="B554" s="315" t="s">
        <v>36</v>
      </c>
      <c r="C554" s="316" t="s">
        <v>173</v>
      </c>
      <c r="D554" s="31">
        <v>130040670017658</v>
      </c>
      <c r="E554" s="315" t="s">
        <v>0</v>
      </c>
      <c r="F554" s="315" t="s">
        <v>128</v>
      </c>
      <c r="G554" s="317" t="s">
        <v>76</v>
      </c>
      <c r="H554" s="312">
        <v>2025</v>
      </c>
      <c r="I554" s="334">
        <v>1</v>
      </c>
      <c r="J554" s="338">
        <v>45702</v>
      </c>
      <c r="K554" s="318" t="s">
        <v>38</v>
      </c>
      <c r="L554" s="402">
        <v>4.3999999999999997E-2</v>
      </c>
      <c r="M554" s="402">
        <v>5.0799999999999998E-2</v>
      </c>
      <c r="N554" s="402">
        <v>6.7999999999999996E-3</v>
      </c>
      <c r="O554" s="396" t="s">
        <v>154</v>
      </c>
      <c r="P554" s="378">
        <v>1</v>
      </c>
      <c r="Q554" s="379" t="s">
        <v>174</v>
      </c>
      <c r="R554" s="422">
        <v>0</v>
      </c>
      <c r="S554" s="320">
        <f t="shared" si="241"/>
        <v>5881921</v>
      </c>
      <c r="T554" s="389">
        <v>325000</v>
      </c>
      <c r="U554" s="382">
        <f t="shared" si="243"/>
        <v>285002.93719999999</v>
      </c>
      <c r="V554" s="315" t="s">
        <v>171</v>
      </c>
      <c r="W554" s="22" t="s">
        <v>78</v>
      </c>
      <c r="X554" s="315">
        <v>0.8</v>
      </c>
      <c r="Y554" s="315" t="s">
        <v>172</v>
      </c>
      <c r="Z554" s="315"/>
      <c r="AA554" s="315" t="s">
        <v>38</v>
      </c>
      <c r="AB554" s="393">
        <f t="shared" si="239"/>
        <v>0</v>
      </c>
      <c r="AC554" s="315" t="s">
        <v>38</v>
      </c>
      <c r="AD554" s="15">
        <f t="shared" si="240"/>
        <v>0</v>
      </c>
      <c r="AE554" s="315" t="s">
        <v>38</v>
      </c>
      <c r="AF554" s="309" t="s">
        <v>38</v>
      </c>
    </row>
    <row r="555" spans="1:32" ht="15" customHeight="1">
      <c r="A555" s="418" t="s">
        <v>127</v>
      </c>
      <c r="B555" s="315" t="s">
        <v>36</v>
      </c>
      <c r="C555" s="316" t="s">
        <v>158</v>
      </c>
      <c r="D555" s="31">
        <v>130040670017656</v>
      </c>
      <c r="E555" s="315" t="s">
        <v>0</v>
      </c>
      <c r="F555" s="315" t="s">
        <v>128</v>
      </c>
      <c r="G555" s="317" t="s">
        <v>76</v>
      </c>
      <c r="H555" s="312">
        <v>2025</v>
      </c>
      <c r="I555" s="334">
        <v>1</v>
      </c>
      <c r="J555" s="338">
        <v>45702</v>
      </c>
      <c r="K555" s="318" t="s">
        <v>38</v>
      </c>
      <c r="L555" s="402">
        <v>9.6000000000000002E-2</v>
      </c>
      <c r="M555" s="402">
        <v>0.1069</v>
      </c>
      <c r="N555" s="402">
        <v>1.09E-2</v>
      </c>
      <c r="O555" s="396" t="s">
        <v>154</v>
      </c>
      <c r="P555" s="378">
        <v>1</v>
      </c>
      <c r="Q555" s="379" t="s">
        <v>175</v>
      </c>
      <c r="R555" s="421">
        <v>141200</v>
      </c>
      <c r="S555" s="320">
        <f t="shared" si="241"/>
        <v>6276226</v>
      </c>
      <c r="T555" s="389">
        <v>525000</v>
      </c>
      <c r="U555" s="382">
        <f t="shared" si="243"/>
        <v>456589.13659999997</v>
      </c>
      <c r="V555" s="315" t="s">
        <v>156</v>
      </c>
      <c r="W555" s="22" t="s">
        <v>78</v>
      </c>
      <c r="X555" s="315">
        <v>2.4</v>
      </c>
      <c r="Y555" s="315" t="s">
        <v>157</v>
      </c>
      <c r="Z555" s="315"/>
      <c r="AA555" s="315" t="s">
        <v>38</v>
      </c>
      <c r="AB555" s="393">
        <f t="shared" si="239"/>
        <v>15094.279999999999</v>
      </c>
      <c r="AC555" s="315" t="s">
        <v>38</v>
      </c>
      <c r="AD555" s="15">
        <f t="shared" si="240"/>
        <v>338.88</v>
      </c>
      <c r="AE555" s="315" t="s">
        <v>38</v>
      </c>
      <c r="AF555" s="309" t="s">
        <v>38</v>
      </c>
    </row>
    <row r="556" spans="1:32" ht="15" customHeight="1">
      <c r="A556" s="418" t="s">
        <v>127</v>
      </c>
      <c r="B556" s="315" t="s">
        <v>36</v>
      </c>
      <c r="C556" s="316" t="s">
        <v>152</v>
      </c>
      <c r="D556" s="31">
        <v>130040670017662</v>
      </c>
      <c r="E556" s="315" t="s">
        <v>0</v>
      </c>
      <c r="F556" s="315" t="s">
        <v>128</v>
      </c>
      <c r="G556" s="317" t="s">
        <v>76</v>
      </c>
      <c r="H556" s="312">
        <v>2025</v>
      </c>
      <c r="I556" s="334">
        <v>1</v>
      </c>
      <c r="J556" s="338">
        <v>45702</v>
      </c>
      <c r="K556" s="318" t="s">
        <v>38</v>
      </c>
      <c r="L556" s="402">
        <v>4.8000000000000001E-2</v>
      </c>
      <c r="M556" s="402">
        <v>6.0299999999999999E-2</v>
      </c>
      <c r="N556" s="402">
        <v>1.23E-2</v>
      </c>
      <c r="O556" s="396" t="s">
        <v>154</v>
      </c>
      <c r="P556" s="378">
        <v>1</v>
      </c>
      <c r="Q556" s="379" t="s">
        <v>176</v>
      </c>
      <c r="R556" s="421">
        <v>0</v>
      </c>
      <c r="S556" s="320">
        <f t="shared" si="241"/>
        <v>5448564</v>
      </c>
      <c r="T556" s="389">
        <v>589000</v>
      </c>
      <c r="U556" s="382">
        <f t="shared" si="243"/>
        <v>521982.66279999999</v>
      </c>
      <c r="V556" s="315" t="s">
        <v>156</v>
      </c>
      <c r="W556" s="22" t="s">
        <v>78</v>
      </c>
      <c r="X556" s="315">
        <v>0.67</v>
      </c>
      <c r="Y556" s="315" t="s">
        <v>157</v>
      </c>
      <c r="Z556" s="315"/>
      <c r="AA556" s="315" t="s">
        <v>38</v>
      </c>
      <c r="AB556" s="393">
        <f t="shared" si="239"/>
        <v>0</v>
      </c>
      <c r="AC556" s="315" t="s">
        <v>38</v>
      </c>
      <c r="AD556" s="15">
        <f t="shared" si="240"/>
        <v>0</v>
      </c>
      <c r="AE556" s="315" t="s">
        <v>38</v>
      </c>
      <c r="AF556" s="309" t="s">
        <v>38</v>
      </c>
    </row>
    <row r="557" spans="1:32" ht="15" customHeight="1">
      <c r="A557" s="418" t="s">
        <v>124</v>
      </c>
      <c r="B557" s="315" t="s">
        <v>36</v>
      </c>
      <c r="C557" s="316" t="s">
        <v>147</v>
      </c>
      <c r="D557" s="31">
        <v>130040670021245</v>
      </c>
      <c r="E557" s="315" t="s">
        <v>0</v>
      </c>
      <c r="F557" s="315" t="s">
        <v>127</v>
      </c>
      <c r="G557" s="317" t="s">
        <v>76</v>
      </c>
      <c r="H557" s="312">
        <v>2025</v>
      </c>
      <c r="I557" s="334">
        <v>1</v>
      </c>
      <c r="J557" s="338">
        <v>45702</v>
      </c>
      <c r="K557" s="318" t="s">
        <v>38</v>
      </c>
      <c r="L557" s="402">
        <v>0.28100000000000003</v>
      </c>
      <c r="M557" s="402">
        <v>0.30070000000000002</v>
      </c>
      <c r="N557" s="402">
        <v>1.9699999999999999E-2</v>
      </c>
      <c r="O557" s="396" t="s">
        <v>154</v>
      </c>
      <c r="P557" s="378">
        <v>1</v>
      </c>
      <c r="Q557" s="379" t="s">
        <v>177</v>
      </c>
      <c r="R557" s="421">
        <v>1672319</v>
      </c>
      <c r="S557" s="320">
        <f t="shared" si="241"/>
        <v>40178265</v>
      </c>
      <c r="T557" s="389">
        <v>3150000</v>
      </c>
      <c r="U557" s="382">
        <f t="shared" si="243"/>
        <v>2358488.1795000001</v>
      </c>
      <c r="V557" s="315" t="s">
        <v>150</v>
      </c>
      <c r="W557" s="22" t="s">
        <v>78</v>
      </c>
      <c r="X557" s="315">
        <v>4.5</v>
      </c>
      <c r="Y557" s="315" t="s">
        <v>151</v>
      </c>
      <c r="Z557" s="315"/>
      <c r="AA557" s="315" t="s">
        <v>38</v>
      </c>
      <c r="AB557" s="393">
        <f t="shared" si="239"/>
        <v>502866.32330000005</v>
      </c>
      <c r="AC557" s="315" t="s">
        <v>38</v>
      </c>
      <c r="AD557" s="15">
        <f t="shared" si="240"/>
        <v>7525.4354999999996</v>
      </c>
      <c r="AE557" s="315" t="s">
        <v>38</v>
      </c>
      <c r="AF557" s="309" t="s">
        <v>38</v>
      </c>
    </row>
    <row r="558" spans="1:32" ht="15" customHeight="1">
      <c r="A558" s="418" t="s">
        <v>124</v>
      </c>
      <c r="B558" s="315" t="s">
        <v>36</v>
      </c>
      <c r="C558" s="316" t="s">
        <v>162</v>
      </c>
      <c r="D558" s="31">
        <v>130040670021246</v>
      </c>
      <c r="E558" s="315" t="s">
        <v>0</v>
      </c>
      <c r="F558" s="315" t="s">
        <v>127</v>
      </c>
      <c r="G558" s="317" t="s">
        <v>76</v>
      </c>
      <c r="H558" s="312">
        <v>2025</v>
      </c>
      <c r="I558" s="334">
        <v>1</v>
      </c>
      <c r="J558" s="338">
        <v>45702</v>
      </c>
      <c r="K558" s="318" t="s">
        <v>38</v>
      </c>
      <c r="L558" s="402">
        <v>4.7E-2</v>
      </c>
      <c r="M558" s="402">
        <v>5.6399999999999999E-2</v>
      </c>
      <c r="N558" s="402">
        <v>9.4000000000000004E-3</v>
      </c>
      <c r="O558" s="396" t="s">
        <v>154</v>
      </c>
      <c r="P558" s="378">
        <v>1</v>
      </c>
      <c r="Q558" s="379" t="s">
        <v>178</v>
      </c>
      <c r="R558" s="421">
        <v>1688000</v>
      </c>
      <c r="S558" s="320">
        <f t="shared" si="241"/>
        <v>39399818</v>
      </c>
      <c r="T558" s="389">
        <v>1350000</v>
      </c>
      <c r="U558" s="382">
        <f t="shared" si="243"/>
        <v>979641.7108</v>
      </c>
      <c r="V558" s="315" t="s">
        <v>150</v>
      </c>
      <c r="W558" s="22" t="s">
        <v>78</v>
      </c>
      <c r="X558" s="315">
        <v>0.5</v>
      </c>
      <c r="Y558" s="315" t="s">
        <v>151</v>
      </c>
      <c r="Z558" s="315"/>
      <c r="AA558" s="315" t="s">
        <v>38</v>
      </c>
      <c r="AB558" s="393">
        <f t="shared" si="239"/>
        <v>95203.199999999997</v>
      </c>
      <c r="AC558" s="315" t="s">
        <v>38</v>
      </c>
      <c r="AD558" s="15">
        <f t="shared" si="240"/>
        <v>844</v>
      </c>
      <c r="AE558" s="315" t="s">
        <v>38</v>
      </c>
      <c r="AF558" s="309" t="s">
        <v>38</v>
      </c>
    </row>
    <row r="559" spans="1:32" ht="15" customHeight="1">
      <c r="A559" s="418" t="s">
        <v>124</v>
      </c>
      <c r="B559" s="315" t="s">
        <v>36</v>
      </c>
      <c r="C559" s="316" t="s">
        <v>160</v>
      </c>
      <c r="D559" s="31">
        <v>130040670026558</v>
      </c>
      <c r="E559" s="315" t="s">
        <v>0</v>
      </c>
      <c r="F559" s="315" t="s">
        <v>127</v>
      </c>
      <c r="G559" s="317" t="s">
        <v>76</v>
      </c>
      <c r="H559" s="312">
        <v>2025</v>
      </c>
      <c r="I559" s="334">
        <v>1</v>
      </c>
      <c r="J559" s="338">
        <v>45702</v>
      </c>
      <c r="K559" s="318" t="s">
        <v>38</v>
      </c>
      <c r="L559" s="402">
        <v>0.06</v>
      </c>
      <c r="M559" s="402">
        <v>7.0599999999999996E-2</v>
      </c>
      <c r="N559" s="402">
        <v>1.06E-2</v>
      </c>
      <c r="O559" s="396" t="s">
        <v>154</v>
      </c>
      <c r="P559" s="378">
        <v>1</v>
      </c>
      <c r="Q559" s="379" t="s">
        <v>179</v>
      </c>
      <c r="R559" s="421">
        <v>1674000</v>
      </c>
      <c r="S559" s="320">
        <f t="shared" si="241"/>
        <v>39479710</v>
      </c>
      <c r="T559" s="389">
        <v>1530000</v>
      </c>
      <c r="U559" s="382">
        <f t="shared" si="243"/>
        <v>1111515.074</v>
      </c>
      <c r="V559" s="315" t="s">
        <v>150</v>
      </c>
      <c r="W559" s="22" t="s">
        <v>78</v>
      </c>
      <c r="X559" s="315">
        <v>0.9</v>
      </c>
      <c r="Y559" s="315" t="s">
        <v>151</v>
      </c>
      <c r="Z559" s="315"/>
      <c r="AA559" s="315" t="s">
        <v>38</v>
      </c>
      <c r="AB559" s="393">
        <f t="shared" si="239"/>
        <v>118184.4</v>
      </c>
      <c r="AC559" s="315" t="s">
        <v>38</v>
      </c>
      <c r="AD559" s="15">
        <f t="shared" si="240"/>
        <v>1506.6</v>
      </c>
      <c r="AE559" s="315" t="s">
        <v>38</v>
      </c>
      <c r="AF559" s="309" t="s">
        <v>38</v>
      </c>
    </row>
    <row r="560" spans="1:32" ht="15" customHeight="1">
      <c r="A560" s="418" t="s">
        <v>124</v>
      </c>
      <c r="B560" s="315" t="s">
        <v>36</v>
      </c>
      <c r="C560" s="316" t="s">
        <v>180</v>
      </c>
      <c r="D560" s="31">
        <v>130040670021244</v>
      </c>
      <c r="E560" s="315" t="s">
        <v>0</v>
      </c>
      <c r="F560" s="315" t="s">
        <v>128</v>
      </c>
      <c r="G560" s="317" t="s">
        <v>76</v>
      </c>
      <c r="H560" s="312">
        <v>2025</v>
      </c>
      <c r="I560" s="334">
        <v>1</v>
      </c>
      <c r="J560" s="338">
        <v>45702</v>
      </c>
      <c r="K560" s="318" t="s">
        <v>38</v>
      </c>
      <c r="L560" s="402">
        <v>0.12</v>
      </c>
      <c r="M560" s="402">
        <v>0.1331</v>
      </c>
      <c r="N560" s="402">
        <v>1.3100000000000001E-2</v>
      </c>
      <c r="O560" s="396" t="s">
        <v>154</v>
      </c>
      <c r="P560" s="378">
        <v>1</v>
      </c>
      <c r="Q560" s="379" t="s">
        <v>181</v>
      </c>
      <c r="R560" s="421">
        <v>1778230</v>
      </c>
      <c r="S560" s="320">
        <f t="shared" si="241"/>
        <v>24855358</v>
      </c>
      <c r="T560" s="389">
        <v>1260000</v>
      </c>
      <c r="U560" s="382">
        <f t="shared" si="243"/>
        <v>934394.81019999995</v>
      </c>
      <c r="V560" s="315" t="s">
        <v>156</v>
      </c>
      <c r="W560" s="22" t="s">
        <v>78</v>
      </c>
      <c r="X560" s="315">
        <v>3.42</v>
      </c>
      <c r="Y560" s="315" t="s">
        <v>157</v>
      </c>
      <c r="Z560" s="315"/>
      <c r="AA560" s="315" t="s">
        <v>38</v>
      </c>
      <c r="AB560" s="393">
        <f t="shared" si="239"/>
        <v>236682.413</v>
      </c>
      <c r="AC560" s="315" t="s">
        <v>38</v>
      </c>
      <c r="AD560" s="15">
        <f t="shared" si="240"/>
        <v>6081.5465999999997</v>
      </c>
      <c r="AE560" s="315" t="s">
        <v>38</v>
      </c>
      <c r="AF560" s="309" t="s">
        <v>38</v>
      </c>
    </row>
    <row r="561" spans="1:32" ht="15" customHeight="1">
      <c r="A561" s="418" t="s">
        <v>113</v>
      </c>
      <c r="B561" s="315" t="s">
        <v>36</v>
      </c>
      <c r="C561" s="316" t="s">
        <v>182</v>
      </c>
      <c r="D561" s="31">
        <v>130040670039455</v>
      </c>
      <c r="E561" s="315" t="s">
        <v>0</v>
      </c>
      <c r="F561" s="315" t="s">
        <v>183</v>
      </c>
      <c r="G561" s="317" t="s">
        <v>76</v>
      </c>
      <c r="H561" s="312">
        <v>2025</v>
      </c>
      <c r="I561" s="334">
        <v>1</v>
      </c>
      <c r="J561" s="338">
        <v>45702</v>
      </c>
      <c r="K561" s="318" t="s">
        <v>38</v>
      </c>
      <c r="L561" s="402">
        <v>6.5299999999999997E-2</v>
      </c>
      <c r="M561" s="402">
        <v>7.5899999999999995E-2</v>
      </c>
      <c r="N561" s="402">
        <v>1.06E-2</v>
      </c>
      <c r="O561" s="396" t="s">
        <v>154</v>
      </c>
      <c r="P561" s="378">
        <v>1</v>
      </c>
      <c r="Q561" s="379" t="s">
        <v>184</v>
      </c>
      <c r="R561" s="421">
        <v>323000</v>
      </c>
      <c r="S561" s="320">
        <f t="shared" si="241"/>
        <v>22569770</v>
      </c>
      <c r="T561" s="389">
        <v>1020000</v>
      </c>
      <c r="U561" s="382">
        <f t="shared" si="243"/>
        <v>780760.43799999997</v>
      </c>
      <c r="V561" s="315" t="s">
        <v>156</v>
      </c>
      <c r="W561" s="22" t="s">
        <v>78</v>
      </c>
      <c r="X561" s="315">
        <v>1.33</v>
      </c>
      <c r="Y561" s="315" t="s">
        <v>157</v>
      </c>
      <c r="Z561" s="315"/>
      <c r="AA561" s="315" t="s">
        <v>38</v>
      </c>
      <c r="AB561" s="393">
        <f t="shared" si="239"/>
        <v>24515.699999999997</v>
      </c>
      <c r="AC561" s="315" t="s">
        <v>38</v>
      </c>
      <c r="AD561" s="15">
        <f t="shared" si="240"/>
        <v>429.59</v>
      </c>
      <c r="AE561" s="315" t="s">
        <v>38</v>
      </c>
      <c r="AF561" s="309" t="s">
        <v>38</v>
      </c>
    </row>
    <row r="562" spans="1:32" ht="15" customHeight="1">
      <c r="A562" s="418" t="s">
        <v>113</v>
      </c>
      <c r="B562" s="315" t="s">
        <v>36</v>
      </c>
      <c r="C562" s="316" t="s">
        <v>185</v>
      </c>
      <c r="D562" s="31">
        <v>130040670023906</v>
      </c>
      <c r="E562" s="315" t="s">
        <v>0</v>
      </c>
      <c r="F562" s="315" t="s">
        <v>128</v>
      </c>
      <c r="G562" s="317" t="s">
        <v>76</v>
      </c>
      <c r="H562" s="312">
        <v>2025</v>
      </c>
      <c r="I562" s="334">
        <v>1</v>
      </c>
      <c r="J562" s="338">
        <v>45702</v>
      </c>
      <c r="K562" s="318" t="s">
        <v>38</v>
      </c>
      <c r="L562" s="402">
        <v>3.9300000000000002E-2</v>
      </c>
      <c r="M562" s="402">
        <v>4.6699999999999998E-2</v>
      </c>
      <c r="N562" s="402">
        <v>7.4000000000000003E-3</v>
      </c>
      <c r="O562" s="396" t="s">
        <v>154</v>
      </c>
      <c r="P562" s="378">
        <v>1</v>
      </c>
      <c r="Q562" s="379" t="s">
        <v>186</v>
      </c>
      <c r="R562" s="421">
        <v>361611</v>
      </c>
      <c r="S562" s="320">
        <f t="shared" si="241"/>
        <v>9099027</v>
      </c>
      <c r="T562" s="389">
        <v>355000</v>
      </c>
      <c r="U562" s="382">
        <f t="shared" si="243"/>
        <v>287667.20019999996</v>
      </c>
      <c r="V562" s="315" t="s">
        <v>171</v>
      </c>
      <c r="W562" s="22" t="s">
        <v>78</v>
      </c>
      <c r="X562" s="315">
        <v>0.36</v>
      </c>
      <c r="Y562" s="315" t="s">
        <v>172</v>
      </c>
      <c r="Z562" s="315"/>
      <c r="AA562" s="315" t="s">
        <v>38</v>
      </c>
      <c r="AB562" s="393">
        <f t="shared" si="239"/>
        <v>16887.233700000001</v>
      </c>
      <c r="AC562" s="315" t="s">
        <v>38</v>
      </c>
      <c r="AD562" s="15">
        <f t="shared" si="240"/>
        <v>130.17995999999999</v>
      </c>
      <c r="AE562" s="315" t="s">
        <v>38</v>
      </c>
      <c r="AF562" s="309" t="s">
        <v>38</v>
      </c>
    </row>
    <row r="563" spans="1:32" ht="15" customHeight="1">
      <c r="A563" s="418" t="s">
        <v>113</v>
      </c>
      <c r="B563" s="315" t="s">
        <v>36</v>
      </c>
      <c r="C563" s="316" t="s">
        <v>152</v>
      </c>
      <c r="D563" s="31">
        <v>130040670023899</v>
      </c>
      <c r="E563" s="315" t="s">
        <v>0</v>
      </c>
      <c r="F563" s="315" t="s">
        <v>128</v>
      </c>
      <c r="G563" s="317" t="s">
        <v>76</v>
      </c>
      <c r="H563" s="312">
        <v>2025</v>
      </c>
      <c r="I563" s="334">
        <v>1</v>
      </c>
      <c r="J563" s="338">
        <v>45702</v>
      </c>
      <c r="K563" s="318" t="s">
        <v>38</v>
      </c>
      <c r="L563" s="402">
        <v>0.12970000000000001</v>
      </c>
      <c r="M563" s="402">
        <v>0.15260000000000001</v>
      </c>
      <c r="N563" s="402">
        <v>2.29E-2</v>
      </c>
      <c r="O563" s="396" t="s">
        <v>154</v>
      </c>
      <c r="P563" s="378">
        <v>1</v>
      </c>
      <c r="Q563" s="379" t="s">
        <v>155</v>
      </c>
      <c r="R563" s="421">
        <v>176768</v>
      </c>
      <c r="S563" s="320">
        <f t="shared" si="241"/>
        <v>9188587</v>
      </c>
      <c r="T563" s="389">
        <v>1100000</v>
      </c>
      <c r="U563" s="382">
        <f t="shared" si="243"/>
        <v>889581.35770000005</v>
      </c>
      <c r="V563" s="315" t="s">
        <v>156</v>
      </c>
      <c r="W563" s="22" t="s">
        <v>78</v>
      </c>
      <c r="X563" s="315">
        <v>2.7</v>
      </c>
      <c r="Y563" s="315" t="s">
        <v>157</v>
      </c>
      <c r="Z563" s="315"/>
      <c r="AA563" s="315" t="s">
        <v>38</v>
      </c>
      <c r="AB563" s="393">
        <f t="shared" si="239"/>
        <v>26974.796800000004</v>
      </c>
      <c r="AC563" s="315" t="s">
        <v>38</v>
      </c>
      <c r="AD563" s="15">
        <f t="shared" si="240"/>
        <v>477.27360000000004</v>
      </c>
      <c r="AE563" s="315" t="s">
        <v>38</v>
      </c>
      <c r="AF563" s="309" t="s">
        <v>38</v>
      </c>
    </row>
    <row r="564" spans="1:32" ht="15" customHeight="1">
      <c r="A564" s="418" t="s">
        <v>113</v>
      </c>
      <c r="B564" s="315" t="s">
        <v>36</v>
      </c>
      <c r="C564" s="316" t="s">
        <v>187</v>
      </c>
      <c r="D564" s="31">
        <v>130040670039442</v>
      </c>
      <c r="E564" s="315" t="s">
        <v>0</v>
      </c>
      <c r="F564" s="315" t="s">
        <v>183</v>
      </c>
      <c r="G564" s="317" t="s">
        <v>76</v>
      </c>
      <c r="H564" s="312">
        <v>2025</v>
      </c>
      <c r="I564" s="334">
        <v>1</v>
      </c>
      <c r="J564" s="338">
        <v>45702</v>
      </c>
      <c r="K564" s="318" t="s">
        <v>38</v>
      </c>
      <c r="L564" s="402">
        <v>6.6699999999999995E-2</v>
      </c>
      <c r="M564" s="402">
        <v>7.7299999999999994E-2</v>
      </c>
      <c r="N564" s="402">
        <v>1.06E-2</v>
      </c>
      <c r="O564" s="396" t="s">
        <v>154</v>
      </c>
      <c r="P564" s="378">
        <v>1</v>
      </c>
      <c r="Q564" s="379" t="s">
        <v>188</v>
      </c>
      <c r="R564" s="421">
        <v>383500</v>
      </c>
      <c r="S564" s="320">
        <f t="shared" si="241"/>
        <v>22492392</v>
      </c>
      <c r="T564" s="389">
        <v>1020000</v>
      </c>
      <c r="U564" s="382">
        <f t="shared" si="243"/>
        <v>781580.64480000001</v>
      </c>
      <c r="V564" s="315" t="s">
        <v>156</v>
      </c>
      <c r="W564" s="22" t="s">
        <v>78</v>
      </c>
      <c r="X564" s="315">
        <v>1.39</v>
      </c>
      <c r="Y564" s="315" t="s">
        <v>157</v>
      </c>
      <c r="Z564" s="315"/>
      <c r="AA564" s="315" t="s">
        <v>38</v>
      </c>
      <c r="AB564" s="393">
        <f t="shared" si="239"/>
        <v>29644.55</v>
      </c>
      <c r="AC564" s="315" t="s">
        <v>38</v>
      </c>
      <c r="AD564" s="15">
        <f t="shared" si="240"/>
        <v>533.06500000000005</v>
      </c>
      <c r="AE564" s="315" t="s">
        <v>38</v>
      </c>
      <c r="AF564" s="309" t="s">
        <v>38</v>
      </c>
    </row>
    <row r="565" spans="1:32" ht="15" customHeight="1">
      <c r="A565" s="418" t="s">
        <v>113</v>
      </c>
      <c r="B565" s="315" t="s">
        <v>36</v>
      </c>
      <c r="C565" s="316" t="s">
        <v>158</v>
      </c>
      <c r="D565" s="31">
        <v>130040670023900</v>
      </c>
      <c r="E565" s="315" t="s">
        <v>0</v>
      </c>
      <c r="F565" s="315" t="s">
        <v>128</v>
      </c>
      <c r="G565" s="317" t="s">
        <v>76</v>
      </c>
      <c r="H565" s="312">
        <v>2025</v>
      </c>
      <c r="I565" s="334">
        <v>1</v>
      </c>
      <c r="J565" s="338">
        <v>45702</v>
      </c>
      <c r="K565" s="318" t="s">
        <v>38</v>
      </c>
      <c r="L565" s="402">
        <v>0.1128</v>
      </c>
      <c r="M565" s="402">
        <v>0.1336</v>
      </c>
      <c r="N565" s="402">
        <v>2.0799999999999999E-2</v>
      </c>
      <c r="O565" s="396" t="s">
        <v>154</v>
      </c>
      <c r="P565" s="378">
        <v>1</v>
      </c>
      <c r="Q565" s="379" t="s">
        <v>189</v>
      </c>
      <c r="R565" s="421">
        <v>259517</v>
      </c>
      <c r="S565" s="320">
        <f t="shared" si="241"/>
        <v>9219852</v>
      </c>
      <c r="T565" s="389">
        <v>999000</v>
      </c>
      <c r="U565" s="382">
        <f t="shared" si="243"/>
        <v>807227.0784</v>
      </c>
      <c r="V565" s="315" t="s">
        <v>156</v>
      </c>
      <c r="W565" s="22" t="s">
        <v>78</v>
      </c>
      <c r="X565" s="315">
        <v>1.5</v>
      </c>
      <c r="Y565" s="315" t="s">
        <v>157</v>
      </c>
      <c r="Z565" s="315"/>
      <c r="AA565" s="315" t="s">
        <v>38</v>
      </c>
      <c r="AB565" s="393">
        <f t="shared" si="239"/>
        <v>34671.4712</v>
      </c>
      <c r="AC565" s="315" t="s">
        <v>38</v>
      </c>
      <c r="AD565" s="15">
        <f t="shared" si="240"/>
        <v>389.27550000000002</v>
      </c>
      <c r="AE565" s="315" t="s">
        <v>38</v>
      </c>
      <c r="AF565" s="309" t="s">
        <v>38</v>
      </c>
    </row>
    <row r="566" spans="1:32" ht="15" customHeight="1">
      <c r="A566" s="418" t="s">
        <v>113</v>
      </c>
      <c r="B566" s="315" t="s">
        <v>36</v>
      </c>
      <c r="C566" s="316" t="s">
        <v>190</v>
      </c>
      <c r="D566" s="31">
        <v>130040670017669</v>
      </c>
      <c r="E566" s="315" t="s">
        <v>0</v>
      </c>
      <c r="F566" s="315" t="s">
        <v>191</v>
      </c>
      <c r="G566" s="317" t="s">
        <v>76</v>
      </c>
      <c r="H566" s="312">
        <v>2025</v>
      </c>
      <c r="I566" s="334">
        <v>1</v>
      </c>
      <c r="J566" s="338">
        <v>45702</v>
      </c>
      <c r="K566" s="318" t="s">
        <v>38</v>
      </c>
      <c r="L566" s="402">
        <v>6.1499999999999999E-2</v>
      </c>
      <c r="M566" s="402">
        <v>6.9400000000000003E-2</v>
      </c>
      <c r="N566" s="402">
        <v>7.9000000000000008E-3</v>
      </c>
      <c r="O566" s="396" t="s">
        <v>154</v>
      </c>
      <c r="P566" s="378">
        <v>1</v>
      </c>
      <c r="Q566" s="379" t="s">
        <v>192</v>
      </c>
      <c r="R566" s="421">
        <v>330000</v>
      </c>
      <c r="S566" s="320">
        <f t="shared" si="241"/>
        <v>29889623</v>
      </c>
      <c r="T566" s="389">
        <v>760000</v>
      </c>
      <c r="U566" s="382">
        <f t="shared" si="243"/>
        <v>523871.97829999996</v>
      </c>
      <c r="V566" s="315" t="s">
        <v>156</v>
      </c>
      <c r="W566" s="22" t="s">
        <v>78</v>
      </c>
      <c r="X566" s="315">
        <v>1.1000000000000001</v>
      </c>
      <c r="Y566" s="315" t="s">
        <v>157</v>
      </c>
      <c r="Z566" s="315"/>
      <c r="AA566" s="315" t="s">
        <v>38</v>
      </c>
      <c r="AB566" s="393">
        <f t="shared" si="239"/>
        <v>22902</v>
      </c>
      <c r="AC566" s="315" t="s">
        <v>38</v>
      </c>
      <c r="AD566" s="15">
        <f t="shared" si="240"/>
        <v>363.00000000000006</v>
      </c>
      <c r="AE566" s="315" t="s">
        <v>38</v>
      </c>
      <c r="AF566" s="309" t="s">
        <v>38</v>
      </c>
    </row>
    <row r="567" spans="1:32" ht="15" customHeight="1">
      <c r="A567" s="418" t="s">
        <v>106</v>
      </c>
      <c r="B567" s="315" t="s">
        <v>36</v>
      </c>
      <c r="C567" s="316" t="s">
        <v>147</v>
      </c>
      <c r="D567" s="31">
        <v>130040670018928</v>
      </c>
      <c r="E567" s="315" t="s">
        <v>0</v>
      </c>
      <c r="F567" s="315" t="s">
        <v>113</v>
      </c>
      <c r="G567" s="317" t="s">
        <v>76</v>
      </c>
      <c r="H567" s="312">
        <v>2025</v>
      </c>
      <c r="I567" s="334">
        <v>1</v>
      </c>
      <c r="J567" s="338">
        <v>45702</v>
      </c>
      <c r="K567" s="318" t="s">
        <v>38</v>
      </c>
      <c r="L567" s="402">
        <v>0.31</v>
      </c>
      <c r="M567" s="402">
        <v>0.34499999999999997</v>
      </c>
      <c r="N567" s="402">
        <v>3.5000000000000003E-2</v>
      </c>
      <c r="O567" s="396" t="s">
        <v>154</v>
      </c>
      <c r="P567" s="378">
        <v>1</v>
      </c>
      <c r="Q567" s="379" t="s">
        <v>193</v>
      </c>
      <c r="R567" s="421">
        <v>678335</v>
      </c>
      <c r="S567" s="320">
        <f t="shared" si="241"/>
        <v>19692492</v>
      </c>
      <c r="T567" s="389">
        <v>4200000</v>
      </c>
      <c r="U567" s="382">
        <f t="shared" si="243"/>
        <v>3510762.78</v>
      </c>
      <c r="V567" s="315" t="s">
        <v>150</v>
      </c>
      <c r="W567" s="22" t="s">
        <v>78</v>
      </c>
      <c r="X567" s="315">
        <v>6.2</v>
      </c>
      <c r="Y567" s="315" t="s">
        <v>151</v>
      </c>
      <c r="Z567" s="315"/>
      <c r="AA567" s="315" t="s">
        <v>38</v>
      </c>
      <c r="AB567" s="393">
        <f t="shared" si="239"/>
        <v>234025.57499999998</v>
      </c>
      <c r="AC567" s="315" t="s">
        <v>38</v>
      </c>
      <c r="AD567" s="15">
        <f t="shared" si="240"/>
        <v>4205.6769999999997</v>
      </c>
      <c r="AE567" s="315" t="s">
        <v>38</v>
      </c>
      <c r="AF567" s="323" t="s">
        <v>38</v>
      </c>
    </row>
    <row r="568" spans="1:32" ht="15" customHeight="1">
      <c r="A568" s="418" t="s">
        <v>106</v>
      </c>
      <c r="B568" s="315" t="s">
        <v>36</v>
      </c>
      <c r="C568" s="316" t="s">
        <v>158</v>
      </c>
      <c r="D568" s="31">
        <v>130040670018919</v>
      </c>
      <c r="E568" s="315" t="s">
        <v>0</v>
      </c>
      <c r="F568" s="315" t="s">
        <v>128</v>
      </c>
      <c r="G568" s="317" t="s">
        <v>76</v>
      </c>
      <c r="H568" s="312">
        <v>2025</v>
      </c>
      <c r="I568" s="334">
        <v>1</v>
      </c>
      <c r="J568" s="338">
        <v>45702</v>
      </c>
      <c r="K568" s="318" t="s">
        <v>38</v>
      </c>
      <c r="L568" s="402">
        <v>0.128</v>
      </c>
      <c r="M568" s="402">
        <v>0.1457</v>
      </c>
      <c r="N568" s="402">
        <v>1.77E-2</v>
      </c>
      <c r="O568" s="396" t="s">
        <v>154</v>
      </c>
      <c r="P568" s="378">
        <v>1</v>
      </c>
      <c r="Q568" s="379" t="s">
        <v>194</v>
      </c>
      <c r="R568" s="421">
        <v>470324</v>
      </c>
      <c r="S568" s="320">
        <f t="shared" si="241"/>
        <v>10488734</v>
      </c>
      <c r="T568" s="389">
        <v>1700000</v>
      </c>
      <c r="U568" s="382">
        <f t="shared" si="243"/>
        <v>1514349.4081999999</v>
      </c>
      <c r="V568" s="315" t="s">
        <v>150</v>
      </c>
      <c r="W568" s="22" t="s">
        <v>78</v>
      </c>
      <c r="X568" s="315">
        <v>3.55</v>
      </c>
      <c r="Y568" s="315" t="s">
        <v>151</v>
      </c>
      <c r="Z568" s="315"/>
      <c r="AA568" s="315" t="s">
        <v>38</v>
      </c>
      <c r="AB568" s="393">
        <f t="shared" si="239"/>
        <v>68526.2068</v>
      </c>
      <c r="AC568" s="315" t="s">
        <v>38</v>
      </c>
      <c r="AD568" s="15">
        <f t="shared" si="240"/>
        <v>1669.6502</v>
      </c>
      <c r="AE568" s="315" t="s">
        <v>38</v>
      </c>
      <c r="AF568" s="323" t="s">
        <v>38</v>
      </c>
    </row>
    <row r="569" spans="1:32" ht="15" customHeight="1">
      <c r="A569" s="418" t="s">
        <v>106</v>
      </c>
      <c r="B569" s="315" t="s">
        <v>36</v>
      </c>
      <c r="C569" s="316" t="s">
        <v>195</v>
      </c>
      <c r="D569" s="31">
        <v>130040670027765</v>
      </c>
      <c r="E569" s="315" t="s">
        <v>0</v>
      </c>
      <c r="F569" s="315" t="s">
        <v>124</v>
      </c>
      <c r="G569" s="317" t="s">
        <v>76</v>
      </c>
      <c r="H569" s="312">
        <v>2025</v>
      </c>
      <c r="I569" s="334">
        <v>1</v>
      </c>
      <c r="J569" s="338">
        <v>45702</v>
      </c>
      <c r="K569" s="318" t="s">
        <v>38</v>
      </c>
      <c r="L569" s="402">
        <v>3.2000000000000001E-2</v>
      </c>
      <c r="M569" s="402">
        <v>3.9899999999999998E-2</v>
      </c>
      <c r="N569" s="402">
        <v>7.9000000000000008E-3</v>
      </c>
      <c r="O569" s="396" t="s">
        <v>154</v>
      </c>
      <c r="P569" s="378">
        <v>1</v>
      </c>
      <c r="Q569" s="379" t="s">
        <v>196</v>
      </c>
      <c r="R569" s="421">
        <v>2372258</v>
      </c>
      <c r="S569" s="320">
        <f t="shared" si="241"/>
        <v>58537333</v>
      </c>
      <c r="T569" s="389">
        <v>1520000</v>
      </c>
      <c r="U569" s="382">
        <f t="shared" si="243"/>
        <v>1057555.0693000001</v>
      </c>
      <c r="V569" s="315" t="s">
        <v>150</v>
      </c>
      <c r="W569" s="22" t="s">
        <v>78</v>
      </c>
      <c r="X569" s="315">
        <v>0.56999999999999995</v>
      </c>
      <c r="Y569" s="315" t="s">
        <v>151</v>
      </c>
      <c r="Z569" s="315"/>
      <c r="AA569" s="315" t="s">
        <v>38</v>
      </c>
      <c r="AB569" s="393">
        <f t="shared" si="239"/>
        <v>94653.094199999992</v>
      </c>
      <c r="AC569" s="315" t="s">
        <v>38</v>
      </c>
      <c r="AD569" s="15">
        <f t="shared" si="240"/>
        <v>1352.1870599999997</v>
      </c>
      <c r="AE569" s="315" t="s">
        <v>38</v>
      </c>
      <c r="AF569" s="323" t="s">
        <v>38</v>
      </c>
    </row>
    <row r="570" spans="1:32" ht="15" customHeight="1">
      <c r="A570" s="418" t="s">
        <v>106</v>
      </c>
      <c r="B570" s="315" t="s">
        <v>36</v>
      </c>
      <c r="C570" s="316" t="s">
        <v>162</v>
      </c>
      <c r="D570" s="31">
        <v>130040670018929</v>
      </c>
      <c r="E570" s="315" t="s">
        <v>0</v>
      </c>
      <c r="F570" s="315" t="s">
        <v>113</v>
      </c>
      <c r="G570" s="317" t="s">
        <v>76</v>
      </c>
      <c r="H570" s="312">
        <v>2025</v>
      </c>
      <c r="I570" s="334">
        <v>1</v>
      </c>
      <c r="J570" s="338">
        <v>45702</v>
      </c>
      <c r="K570" s="318" t="s">
        <v>38</v>
      </c>
      <c r="L570" s="402">
        <v>5.3999999999999999E-2</v>
      </c>
      <c r="M570" s="402">
        <v>6.3399999999999998E-2</v>
      </c>
      <c r="N570" s="402">
        <v>9.4000000000000004E-3</v>
      </c>
      <c r="O570" s="396" t="s">
        <v>154</v>
      </c>
      <c r="P570" s="378">
        <v>1</v>
      </c>
      <c r="Q570" s="379" t="s">
        <v>197</v>
      </c>
      <c r="R570" s="421">
        <v>885460</v>
      </c>
      <c r="S570" s="320">
        <f t="shared" si="241"/>
        <v>19657095</v>
      </c>
      <c r="T570" s="389">
        <v>902000</v>
      </c>
      <c r="U570" s="382">
        <f t="shared" si="243"/>
        <v>717223.30700000003</v>
      </c>
      <c r="V570" s="315" t="s">
        <v>150</v>
      </c>
      <c r="W570" s="22" t="s">
        <v>78</v>
      </c>
      <c r="X570" s="315">
        <v>0.65</v>
      </c>
      <c r="Y570" s="315" t="s">
        <v>151</v>
      </c>
      <c r="Z570" s="315"/>
      <c r="AA570" s="315" t="s">
        <v>38</v>
      </c>
      <c r="AB570" s="393">
        <f t="shared" si="239"/>
        <v>56138.163999999997</v>
      </c>
      <c r="AC570" s="315" t="s">
        <v>38</v>
      </c>
      <c r="AD570" s="15">
        <f t="shared" si="240"/>
        <v>575.54899999999998</v>
      </c>
      <c r="AE570" s="315" t="s">
        <v>38</v>
      </c>
      <c r="AF570" s="323" t="s">
        <v>38</v>
      </c>
    </row>
    <row r="571" spans="1:32" ht="15" customHeight="1">
      <c r="A571" s="418" t="s">
        <v>106</v>
      </c>
      <c r="B571" s="315" t="s">
        <v>36</v>
      </c>
      <c r="C571" s="316" t="s">
        <v>160</v>
      </c>
      <c r="D571" s="31">
        <v>130040670018930</v>
      </c>
      <c r="E571" s="315" t="s">
        <v>0</v>
      </c>
      <c r="F571" s="315" t="s">
        <v>113</v>
      </c>
      <c r="G571" s="317" t="s">
        <v>76</v>
      </c>
      <c r="H571" s="312">
        <v>2025</v>
      </c>
      <c r="I571" s="334">
        <v>1</v>
      </c>
      <c r="J571" s="338">
        <v>45702</v>
      </c>
      <c r="K571" s="318" t="s">
        <v>38</v>
      </c>
      <c r="L571" s="402">
        <v>0.08</v>
      </c>
      <c r="M571" s="402">
        <v>9.0700000000000003E-2</v>
      </c>
      <c r="N571" s="402">
        <v>1.0699999999999999E-2</v>
      </c>
      <c r="O571" s="396" t="s">
        <v>154</v>
      </c>
      <c r="P571" s="378">
        <v>1</v>
      </c>
      <c r="Q571" s="379" t="s">
        <v>198</v>
      </c>
      <c r="R571" s="421">
        <v>885229</v>
      </c>
      <c r="S571" s="320">
        <f t="shared" si="241"/>
        <v>19849229</v>
      </c>
      <c r="T571" s="389">
        <v>1028000</v>
      </c>
      <c r="U571" s="382">
        <f t="shared" si="243"/>
        <v>815613.24970000004</v>
      </c>
      <c r="V571" s="315" t="s">
        <v>150</v>
      </c>
      <c r="W571" s="22" t="s">
        <v>78</v>
      </c>
      <c r="X571" s="315">
        <v>1.2</v>
      </c>
      <c r="Y571" s="315" t="s">
        <v>151</v>
      </c>
      <c r="Z571" s="315"/>
      <c r="AA571" s="315" t="s">
        <v>38</v>
      </c>
      <c r="AB571" s="393">
        <f t="shared" si="239"/>
        <v>80290.270300000004</v>
      </c>
      <c r="AC571" s="315" t="s">
        <v>38</v>
      </c>
      <c r="AD571" s="15">
        <f t="shared" si="240"/>
        <v>1062.2748000000001</v>
      </c>
      <c r="AE571" s="315" t="s">
        <v>38</v>
      </c>
      <c r="AF571" s="323" t="s">
        <v>38</v>
      </c>
    </row>
    <row r="572" spans="1:32" ht="15" customHeight="1">
      <c r="A572" s="418" t="s">
        <v>106</v>
      </c>
      <c r="B572" s="315" t="s">
        <v>36</v>
      </c>
      <c r="C572" s="316" t="s">
        <v>199</v>
      </c>
      <c r="D572" s="31">
        <v>130040670018925</v>
      </c>
      <c r="E572" s="315" t="s">
        <v>0</v>
      </c>
      <c r="F572" s="315" t="s">
        <v>113</v>
      </c>
      <c r="G572" s="317" t="s">
        <v>76</v>
      </c>
      <c r="H572" s="312">
        <v>2025</v>
      </c>
      <c r="I572" s="334">
        <v>1</v>
      </c>
      <c r="J572" s="338">
        <v>45702</v>
      </c>
      <c r="K572" s="318" t="s">
        <v>38</v>
      </c>
      <c r="L572" s="402">
        <v>3.6999999999999998E-2</v>
      </c>
      <c r="M572" s="402">
        <v>4.24E-2</v>
      </c>
      <c r="N572" s="402">
        <v>5.4000000000000003E-3</v>
      </c>
      <c r="O572" s="396" t="s">
        <v>154</v>
      </c>
      <c r="P572" s="378">
        <v>1</v>
      </c>
      <c r="Q572" s="379" t="s">
        <v>200</v>
      </c>
      <c r="R572" s="421">
        <v>885656</v>
      </c>
      <c r="S572" s="320">
        <f t="shared" si="241"/>
        <v>19534196</v>
      </c>
      <c r="T572" s="389">
        <v>514000</v>
      </c>
      <c r="U572" s="382">
        <f t="shared" si="243"/>
        <v>408515.34159999999</v>
      </c>
      <c r="V572" s="315" t="s">
        <v>150</v>
      </c>
      <c r="W572" s="22" t="s">
        <v>78</v>
      </c>
      <c r="X572" s="315">
        <v>0.9</v>
      </c>
      <c r="Y572" s="315" t="s">
        <v>151</v>
      </c>
      <c r="Z572" s="315"/>
      <c r="AA572" s="315" t="s">
        <v>38</v>
      </c>
      <c r="AB572" s="393">
        <f t="shared" si="239"/>
        <v>37551.814400000003</v>
      </c>
      <c r="AC572" s="315" t="s">
        <v>38</v>
      </c>
      <c r="AD572" s="15">
        <f t="shared" si="240"/>
        <v>797.09040000000005</v>
      </c>
      <c r="AE572" s="315" t="s">
        <v>38</v>
      </c>
      <c r="AF572" s="323" t="s">
        <v>38</v>
      </c>
    </row>
    <row r="573" spans="1:32" ht="15" customHeight="1">
      <c r="A573" s="418" t="s">
        <v>86</v>
      </c>
      <c r="B573" s="315" t="s">
        <v>36</v>
      </c>
      <c r="C573" s="316" t="s">
        <v>201</v>
      </c>
      <c r="D573" s="31">
        <v>310493191000</v>
      </c>
      <c r="E573" s="315" t="s">
        <v>0</v>
      </c>
      <c r="F573" s="315" t="s">
        <v>128</v>
      </c>
      <c r="G573" s="317" t="s">
        <v>76</v>
      </c>
      <c r="H573" s="312">
        <v>2025</v>
      </c>
      <c r="I573" s="334">
        <v>1</v>
      </c>
      <c r="J573" s="338">
        <v>45702</v>
      </c>
      <c r="K573" s="318" t="s">
        <v>38</v>
      </c>
      <c r="L573" s="402">
        <v>0.28620000000000001</v>
      </c>
      <c r="M573" s="402">
        <v>0.28620000000000001</v>
      </c>
      <c r="N573" s="402">
        <v>0</v>
      </c>
      <c r="O573" s="396" t="s">
        <v>154</v>
      </c>
      <c r="P573" s="378">
        <v>1</v>
      </c>
      <c r="Q573" s="379" t="s">
        <v>203</v>
      </c>
      <c r="R573" s="421">
        <v>255045</v>
      </c>
      <c r="S573" s="320">
        <f t="shared" si="241"/>
        <v>48747221</v>
      </c>
      <c r="T573" s="389">
        <v>5970000</v>
      </c>
      <c r="U573" s="382">
        <f t="shared" si="243"/>
        <v>5970000</v>
      </c>
      <c r="V573" s="319" t="s">
        <v>204</v>
      </c>
      <c r="W573" s="22" t="s">
        <v>78</v>
      </c>
      <c r="X573" s="315">
        <v>4.03</v>
      </c>
      <c r="Y573" s="315" t="s">
        <v>151</v>
      </c>
      <c r="Z573" s="315"/>
      <c r="AA573" s="315" t="s">
        <v>38</v>
      </c>
      <c r="AB573" s="393">
        <f t="shared" si="239"/>
        <v>72993.879000000001</v>
      </c>
      <c r="AC573" s="315" t="s">
        <v>38</v>
      </c>
      <c r="AD573" s="15">
        <f t="shared" si="240"/>
        <v>1027.8313500000002</v>
      </c>
      <c r="AE573" s="315" t="s">
        <v>38</v>
      </c>
      <c r="AF573" s="323" t="s">
        <v>38</v>
      </c>
    </row>
    <row r="574" spans="1:32" ht="15" customHeight="1">
      <c r="A574" s="418" t="s">
        <v>86</v>
      </c>
      <c r="B574" s="315" t="s">
        <v>36</v>
      </c>
      <c r="C574" s="316" t="s">
        <v>205</v>
      </c>
      <c r="D574" s="31">
        <v>310493192000</v>
      </c>
      <c r="E574" s="315" t="s">
        <v>0</v>
      </c>
      <c r="F574" s="315" t="s">
        <v>128</v>
      </c>
      <c r="G574" s="317" t="s">
        <v>76</v>
      </c>
      <c r="H574" s="312">
        <v>2025</v>
      </c>
      <c r="I574" s="334">
        <v>1</v>
      </c>
      <c r="J574" s="338">
        <v>45702</v>
      </c>
      <c r="K574" s="318" t="s">
        <v>38</v>
      </c>
      <c r="L574" s="402">
        <v>4.5900000000000003E-2</v>
      </c>
      <c r="M574" s="402">
        <v>4.5900000000000003E-2</v>
      </c>
      <c r="N574" s="402">
        <v>0</v>
      </c>
      <c r="O574" s="396" t="s">
        <v>154</v>
      </c>
      <c r="P574" s="378">
        <v>1</v>
      </c>
      <c r="Q574" s="379" t="s">
        <v>206</v>
      </c>
      <c r="R574" s="421">
        <v>299652</v>
      </c>
      <c r="S574" s="320">
        <f t="shared" si="241"/>
        <v>51512913</v>
      </c>
      <c r="T574" s="389">
        <v>2514000</v>
      </c>
      <c r="U574" s="382">
        <f t="shared" si="243"/>
        <v>2514000</v>
      </c>
      <c r="V574" s="319" t="s">
        <v>204</v>
      </c>
      <c r="W574" s="22" t="s">
        <v>78</v>
      </c>
      <c r="X574" s="315">
        <v>0.43</v>
      </c>
      <c r="Y574" s="315" t="s">
        <v>151</v>
      </c>
      <c r="Z574" s="315"/>
      <c r="AA574" s="315" t="s">
        <v>38</v>
      </c>
      <c r="AB574" s="393">
        <f t="shared" si="239"/>
        <v>13754.026800000001</v>
      </c>
      <c r="AC574" s="315" t="s">
        <v>38</v>
      </c>
      <c r="AD574" s="15">
        <f t="shared" si="240"/>
        <v>128.85035999999999</v>
      </c>
      <c r="AE574" s="315" t="s">
        <v>38</v>
      </c>
      <c r="AF574" s="323" t="s">
        <v>38</v>
      </c>
    </row>
    <row r="575" spans="1:32" ht="15" customHeight="1">
      <c r="A575" s="418" t="s">
        <v>86</v>
      </c>
      <c r="B575" s="315" t="s">
        <v>36</v>
      </c>
      <c r="C575" s="316" t="s">
        <v>207</v>
      </c>
      <c r="D575" s="31">
        <v>310493193000</v>
      </c>
      <c r="E575" s="315" t="s">
        <v>0</v>
      </c>
      <c r="F575" s="315" t="s">
        <v>128</v>
      </c>
      <c r="G575" s="317" t="s">
        <v>76</v>
      </c>
      <c r="H575" s="312">
        <v>2025</v>
      </c>
      <c r="I575" s="334">
        <v>1</v>
      </c>
      <c r="J575" s="338">
        <v>45702</v>
      </c>
      <c r="K575" s="318" t="s">
        <v>38</v>
      </c>
      <c r="L575" s="402">
        <v>6.8099999999999994E-2</v>
      </c>
      <c r="M575" s="402">
        <v>6.8099999999999994E-2</v>
      </c>
      <c r="N575" s="402">
        <v>0</v>
      </c>
      <c r="O575" s="396" t="s">
        <v>154</v>
      </c>
      <c r="P575" s="378">
        <v>1</v>
      </c>
      <c r="Q575" s="379" t="s">
        <v>208</v>
      </c>
      <c r="R575" s="422">
        <v>0</v>
      </c>
      <c r="S575" s="320">
        <f t="shared" si="241"/>
        <v>48387960</v>
      </c>
      <c r="T575" s="389">
        <v>2968000</v>
      </c>
      <c r="U575" s="382">
        <f t="shared" si="243"/>
        <v>2968000</v>
      </c>
      <c r="V575" s="319" t="s">
        <v>204</v>
      </c>
      <c r="W575" s="22" t="s">
        <v>78</v>
      </c>
      <c r="X575" s="315">
        <v>0.6</v>
      </c>
      <c r="Y575" s="315" t="s">
        <v>151</v>
      </c>
      <c r="Z575" s="315"/>
      <c r="AA575" s="315" t="s">
        <v>38</v>
      </c>
      <c r="AB575" s="393">
        <f t="shared" si="239"/>
        <v>0</v>
      </c>
      <c r="AC575" s="315" t="s">
        <v>38</v>
      </c>
      <c r="AD575" s="15">
        <f t="shared" si="240"/>
        <v>0</v>
      </c>
      <c r="AE575" s="315" t="s">
        <v>38</v>
      </c>
      <c r="AF575" s="323" t="s">
        <v>38</v>
      </c>
    </row>
    <row r="576" spans="1:32" ht="15" customHeight="1">
      <c r="A576" s="418" t="s">
        <v>86</v>
      </c>
      <c r="B576" s="315" t="s">
        <v>36</v>
      </c>
      <c r="C576" s="316" t="s">
        <v>209</v>
      </c>
      <c r="D576" s="31">
        <v>310493194000</v>
      </c>
      <c r="E576" s="315" t="s">
        <v>0</v>
      </c>
      <c r="F576" s="315" t="s">
        <v>128</v>
      </c>
      <c r="G576" s="317" t="s">
        <v>76</v>
      </c>
      <c r="H576" s="312">
        <v>2025</v>
      </c>
      <c r="I576" s="334">
        <v>1</v>
      </c>
      <c r="J576" s="338">
        <v>45702</v>
      </c>
      <c r="K576" s="318" t="s">
        <v>38</v>
      </c>
      <c r="L576" s="402">
        <v>7.0999999999999994E-2</v>
      </c>
      <c r="M576" s="402">
        <v>7.0999999999999994E-2</v>
      </c>
      <c r="N576" s="402">
        <v>0</v>
      </c>
      <c r="O576" s="396" t="s">
        <v>154</v>
      </c>
      <c r="P576" s="378">
        <v>1</v>
      </c>
      <c r="Q576" s="379" t="s">
        <v>210</v>
      </c>
      <c r="R576" s="421">
        <v>206417</v>
      </c>
      <c r="S576" s="320">
        <f>R576+S542</f>
        <v>64704689</v>
      </c>
      <c r="T576" s="389">
        <v>3400000</v>
      </c>
      <c r="U576" s="382">
        <f t="shared" si="243"/>
        <v>3400000</v>
      </c>
      <c r="V576" s="324" t="s">
        <v>92</v>
      </c>
      <c r="W576" s="22" t="s">
        <v>78</v>
      </c>
      <c r="X576" s="315">
        <v>1</v>
      </c>
      <c r="Y576" s="315" t="s">
        <v>157</v>
      </c>
      <c r="Z576" s="315"/>
      <c r="AA576" s="315" t="s">
        <v>38</v>
      </c>
      <c r="AB576" s="393">
        <f t="shared" si="239"/>
        <v>14655.606999999998</v>
      </c>
      <c r="AC576" s="315" t="s">
        <v>38</v>
      </c>
      <c r="AD576" s="15">
        <f t="shared" si="240"/>
        <v>206.417</v>
      </c>
      <c r="AE576" s="315" t="s">
        <v>211</v>
      </c>
      <c r="AF576" s="323" t="s">
        <v>38</v>
      </c>
    </row>
    <row r="577" spans="1:32" ht="15" customHeight="1">
      <c r="A577" s="418" t="s">
        <v>86</v>
      </c>
      <c r="B577" s="315" t="s">
        <v>36</v>
      </c>
      <c r="C577" s="316" t="s">
        <v>212</v>
      </c>
      <c r="D577" s="262">
        <v>310493196000</v>
      </c>
      <c r="E577" s="315" t="s">
        <v>0</v>
      </c>
      <c r="F577" s="315" t="s">
        <v>128</v>
      </c>
      <c r="G577" s="317" t="s">
        <v>76</v>
      </c>
      <c r="H577" s="312">
        <v>2025</v>
      </c>
      <c r="I577" s="334">
        <v>1</v>
      </c>
      <c r="J577" s="338">
        <v>45702</v>
      </c>
      <c r="K577" s="318" t="s">
        <v>38</v>
      </c>
      <c r="L577" s="402">
        <v>4.1200000000000001E-2</v>
      </c>
      <c r="M577" s="402">
        <v>4.1200000000000001E-2</v>
      </c>
      <c r="N577" s="402">
        <v>0</v>
      </c>
      <c r="O577" s="396" t="s">
        <v>154</v>
      </c>
      <c r="P577" s="378">
        <v>1</v>
      </c>
      <c r="Q577" s="379" t="s">
        <v>213</v>
      </c>
      <c r="R577" s="421">
        <v>232704</v>
      </c>
      <c r="S577" s="320">
        <f>R577+S543</f>
        <v>35804304</v>
      </c>
      <c r="T577" s="389">
        <v>1650000</v>
      </c>
      <c r="U577" s="382">
        <f t="shared" si="243"/>
        <v>1650000</v>
      </c>
      <c r="V577" s="324" t="s">
        <v>92</v>
      </c>
      <c r="W577" s="22" t="s">
        <v>78</v>
      </c>
      <c r="X577" s="315">
        <v>0.47</v>
      </c>
      <c r="Y577" s="315" t="s">
        <v>157</v>
      </c>
      <c r="Z577" s="315"/>
      <c r="AA577" s="315" t="s">
        <v>38</v>
      </c>
      <c r="AB577" s="393">
        <f t="shared" si="239"/>
        <v>9587.4048000000003</v>
      </c>
      <c r="AC577" s="315" t="s">
        <v>38</v>
      </c>
      <c r="AD577" s="15">
        <f t="shared" si="240"/>
        <v>109.37087999999999</v>
      </c>
      <c r="AE577" s="315" t="s">
        <v>38</v>
      </c>
      <c r="AF577" s="323" t="s">
        <v>38</v>
      </c>
    </row>
    <row r="578" spans="1:32" ht="15" customHeight="1">
      <c r="A578" s="418" t="s">
        <v>18</v>
      </c>
      <c r="B578" s="315" t="s">
        <v>34</v>
      </c>
      <c r="C578" s="315" t="s">
        <v>147</v>
      </c>
      <c r="D578" s="31">
        <v>130040670029868</v>
      </c>
      <c r="E578" s="315" t="s">
        <v>0</v>
      </c>
      <c r="F578" s="315" t="s">
        <v>128</v>
      </c>
      <c r="G578" s="317" t="s">
        <v>76</v>
      </c>
      <c r="H578" s="312">
        <v>2025</v>
      </c>
      <c r="I578" s="334">
        <v>1</v>
      </c>
      <c r="J578" s="338">
        <v>45702</v>
      </c>
      <c r="K578" s="318" t="s">
        <v>38</v>
      </c>
      <c r="L578" s="402">
        <v>0.1802</v>
      </c>
      <c r="M578" s="402">
        <v>0.21870000000000001</v>
      </c>
      <c r="N578" s="402">
        <v>3.3099999999999997E-2</v>
      </c>
      <c r="O578" s="396" t="s">
        <v>154</v>
      </c>
      <c r="P578" s="378">
        <v>1</v>
      </c>
      <c r="Q578" s="379" t="s">
        <v>214</v>
      </c>
      <c r="R578" s="421">
        <v>8065440</v>
      </c>
      <c r="S578" s="320">
        <f>R578+S544</f>
        <v>99877286</v>
      </c>
      <c r="T578" s="389">
        <v>8913207</v>
      </c>
      <c r="U578" s="382">
        <f t="shared" si="243"/>
        <v>5607268.8333999999</v>
      </c>
      <c r="V578" s="315" t="s">
        <v>167</v>
      </c>
      <c r="W578" s="22" t="s">
        <v>78</v>
      </c>
      <c r="X578" s="315">
        <v>3.8</v>
      </c>
      <c r="Y578" s="321" t="s">
        <v>168</v>
      </c>
      <c r="Z578" s="321"/>
      <c r="AA578" s="315" t="s">
        <v>38</v>
      </c>
      <c r="AB578" s="393">
        <f t="shared" si="239"/>
        <v>1763911.7280000001</v>
      </c>
      <c r="AC578" s="315" t="s">
        <v>38</v>
      </c>
      <c r="AD578" s="15">
        <f t="shared" si="240"/>
        <v>30648.671999999999</v>
      </c>
      <c r="AE578" s="315" t="s">
        <v>38</v>
      </c>
      <c r="AF578" s="323" t="s">
        <v>38</v>
      </c>
    </row>
    <row r="579" spans="1:32" ht="15" customHeight="1">
      <c r="A579" s="418" t="s">
        <v>18</v>
      </c>
      <c r="B579" s="315" t="s">
        <v>34</v>
      </c>
      <c r="C579" s="316" t="s">
        <v>215</v>
      </c>
      <c r="D579" s="31">
        <v>130040670020898</v>
      </c>
      <c r="E579" s="315" t="s">
        <v>0</v>
      </c>
      <c r="F579" s="315" t="s">
        <v>128</v>
      </c>
      <c r="G579" s="317" t="s">
        <v>76</v>
      </c>
      <c r="H579" s="312">
        <v>2025</v>
      </c>
      <c r="I579" s="334">
        <v>1</v>
      </c>
      <c r="J579" s="338">
        <v>45702</v>
      </c>
      <c r="K579" s="318" t="s">
        <v>38</v>
      </c>
      <c r="L579" s="402">
        <v>5.0299999999999997E-2</v>
      </c>
      <c r="M579" s="402">
        <v>7.4499999999999997E-2</v>
      </c>
      <c r="N579" s="402">
        <v>2.4199999999999999E-2</v>
      </c>
      <c r="O579" s="396" t="s">
        <v>154</v>
      </c>
      <c r="P579" s="378">
        <v>1</v>
      </c>
      <c r="Q579" s="379" t="s">
        <v>216</v>
      </c>
      <c r="R579" s="421">
        <v>8224000</v>
      </c>
      <c r="S579" s="320">
        <f>R579+S545</f>
        <v>107248798</v>
      </c>
      <c r="T579" s="389">
        <v>5799197</v>
      </c>
      <c r="U579" s="382">
        <f t="shared" si="243"/>
        <v>3203776.0884000002</v>
      </c>
      <c r="V579" s="315" t="s">
        <v>150</v>
      </c>
      <c r="W579" s="22" t="s">
        <v>78</v>
      </c>
      <c r="X579" s="315">
        <v>0.24</v>
      </c>
      <c r="Y579" s="315" t="s">
        <v>151</v>
      </c>
      <c r="Z579" s="315"/>
      <c r="AA579" s="315" t="s">
        <v>38</v>
      </c>
      <c r="AB579" s="393">
        <f t="shared" si="239"/>
        <v>612688</v>
      </c>
      <c r="AC579" s="315" t="s">
        <v>38</v>
      </c>
      <c r="AD579" s="15">
        <f t="shared" si="240"/>
        <v>1973.76</v>
      </c>
      <c r="AE579" s="315" t="s">
        <v>38</v>
      </c>
      <c r="AF579" s="323" t="s">
        <v>38</v>
      </c>
    </row>
    <row r="580" spans="1:32" ht="15" customHeight="1">
      <c r="A580" s="418" t="s">
        <v>18</v>
      </c>
      <c r="B580" s="315" t="s">
        <v>34</v>
      </c>
      <c r="C580" s="316" t="s">
        <v>162</v>
      </c>
      <c r="D580" s="31">
        <v>130040670020899</v>
      </c>
      <c r="E580" s="315" t="s">
        <v>0</v>
      </c>
      <c r="F580" s="315" t="s">
        <v>128</v>
      </c>
      <c r="G580" s="317" t="s">
        <v>76</v>
      </c>
      <c r="H580" s="312">
        <v>2025</v>
      </c>
      <c r="I580" s="334">
        <v>1</v>
      </c>
      <c r="J580" s="338">
        <v>45702</v>
      </c>
      <c r="K580" s="318" t="s">
        <v>38</v>
      </c>
      <c r="L580" s="402">
        <v>6.2700000000000006E-2</v>
      </c>
      <c r="M580" s="402">
        <v>8.7300000000000003E-2</v>
      </c>
      <c r="N580" s="402">
        <v>2.46E-2</v>
      </c>
      <c r="O580" s="396" t="s">
        <v>154</v>
      </c>
      <c r="P580" s="378">
        <v>1</v>
      </c>
      <c r="Q580" s="379" t="s">
        <v>217</v>
      </c>
      <c r="R580" s="421">
        <v>9750000</v>
      </c>
      <c r="S580" s="320">
        <f>R580+S546</f>
        <v>108198647</v>
      </c>
      <c r="T580" s="389">
        <v>5893484</v>
      </c>
      <c r="U580" s="382">
        <f t="shared" si="243"/>
        <v>3231797.2837999999</v>
      </c>
      <c r="V580" s="315" t="s">
        <v>150</v>
      </c>
      <c r="W580" s="22" t="s">
        <v>78</v>
      </c>
      <c r="X580" s="315">
        <v>0.53</v>
      </c>
      <c r="Y580" s="315" t="s">
        <v>151</v>
      </c>
      <c r="Z580" s="315"/>
      <c r="AA580" s="315" t="s">
        <v>38</v>
      </c>
      <c r="AB580" s="393">
        <f t="shared" si="239"/>
        <v>851175</v>
      </c>
      <c r="AC580" s="315" t="s">
        <v>38</v>
      </c>
      <c r="AD580" s="15">
        <f t="shared" si="240"/>
        <v>5167.5</v>
      </c>
      <c r="AE580" s="315" t="s">
        <v>38</v>
      </c>
      <c r="AF580" s="323" t="s">
        <v>38</v>
      </c>
    </row>
    <row r="581" spans="1:32" ht="15" customHeight="1">
      <c r="A581" s="431" t="s">
        <v>130</v>
      </c>
      <c r="B581" s="432" t="s">
        <v>36</v>
      </c>
      <c r="C581" s="433" t="s">
        <v>147</v>
      </c>
      <c r="D581" s="434">
        <v>130040670023444</v>
      </c>
      <c r="E581" s="432" t="s">
        <v>0</v>
      </c>
      <c r="F581" s="432" t="s">
        <v>128</v>
      </c>
      <c r="G581" s="435" t="s">
        <v>76</v>
      </c>
      <c r="H581" s="435">
        <v>2025</v>
      </c>
      <c r="I581" s="436">
        <v>2</v>
      </c>
      <c r="J581" s="437">
        <v>45719</v>
      </c>
      <c r="K581" s="438" t="s">
        <v>38</v>
      </c>
      <c r="L581" s="439">
        <v>0.7006</v>
      </c>
      <c r="M581" s="439">
        <v>0.7419</v>
      </c>
      <c r="N581" s="439">
        <v>4.1300000000000003E-2</v>
      </c>
      <c r="O581" s="440" t="s">
        <v>154</v>
      </c>
      <c r="P581" s="441">
        <v>1</v>
      </c>
      <c r="Q581" s="439" t="s">
        <v>149</v>
      </c>
      <c r="R581" s="442">
        <v>20000</v>
      </c>
      <c r="S581" s="443">
        <f t="shared" ref="S581:S606" si="244">R581+S547</f>
        <v>11301038</v>
      </c>
      <c r="T581" s="444">
        <v>1980000</v>
      </c>
      <c r="U581" s="445">
        <f>T581-N581*S581</f>
        <v>1513267.1306</v>
      </c>
      <c r="V581" s="432" t="s">
        <v>150</v>
      </c>
      <c r="W581" s="446" t="s">
        <v>78</v>
      </c>
      <c r="X581" s="432">
        <v>10.1</v>
      </c>
      <c r="Y581" s="432" t="s">
        <v>151</v>
      </c>
      <c r="Z581" s="432"/>
      <c r="AA581" s="432" t="s">
        <v>38</v>
      </c>
      <c r="AB581" s="447">
        <f t="shared" si="239"/>
        <v>14838</v>
      </c>
      <c r="AC581" s="432" t="s">
        <v>38</v>
      </c>
      <c r="AD581" s="448">
        <f t="shared" si="240"/>
        <v>202</v>
      </c>
      <c r="AE581" s="432" t="s">
        <v>38</v>
      </c>
      <c r="AF581" s="309" t="s">
        <v>38</v>
      </c>
    </row>
    <row r="582" spans="1:32" ht="15" customHeight="1">
      <c r="A582" s="436" t="s">
        <v>130</v>
      </c>
      <c r="B582" s="449" t="s">
        <v>36</v>
      </c>
      <c r="C582" s="450" t="s">
        <v>152</v>
      </c>
      <c r="D582" s="434">
        <v>130040670023440</v>
      </c>
      <c r="E582" s="449" t="s">
        <v>0</v>
      </c>
      <c r="F582" s="449" t="s">
        <v>153</v>
      </c>
      <c r="G582" s="451" t="s">
        <v>76</v>
      </c>
      <c r="H582" s="435">
        <v>2025</v>
      </c>
      <c r="I582" s="436">
        <v>2</v>
      </c>
      <c r="J582" s="437">
        <v>45719</v>
      </c>
      <c r="K582" s="452" t="s">
        <v>38</v>
      </c>
      <c r="L582" s="439">
        <v>0.12970000000000001</v>
      </c>
      <c r="M582" s="439">
        <v>0.15260000000000001</v>
      </c>
      <c r="N582" s="439">
        <v>2.29E-2</v>
      </c>
      <c r="O582" s="440" t="s">
        <v>154</v>
      </c>
      <c r="P582" s="441">
        <v>1</v>
      </c>
      <c r="Q582" s="439" t="s">
        <v>155</v>
      </c>
      <c r="R582" s="442">
        <v>28860</v>
      </c>
      <c r="S582" s="453">
        <f t="shared" si="244"/>
        <v>13325914</v>
      </c>
      <c r="T582" s="454">
        <v>1100000</v>
      </c>
      <c r="U582" s="445">
        <f>T582-N582*S582</f>
        <v>794836.56939999992</v>
      </c>
      <c r="V582" s="449" t="s">
        <v>156</v>
      </c>
      <c r="W582" s="446" t="s">
        <v>78</v>
      </c>
      <c r="X582" s="449">
        <v>2.4</v>
      </c>
      <c r="Y582" s="449" t="s">
        <v>157</v>
      </c>
      <c r="Z582" s="449"/>
      <c r="AA582" s="449" t="s">
        <v>38</v>
      </c>
      <c r="AB582" s="447">
        <f t="shared" si="239"/>
        <v>4404.0360000000001</v>
      </c>
      <c r="AC582" s="449" t="s">
        <v>38</v>
      </c>
      <c r="AD582" s="448">
        <f t="shared" si="240"/>
        <v>69.263999999999996</v>
      </c>
      <c r="AE582" s="449" t="s">
        <v>38</v>
      </c>
      <c r="AF582" s="309" t="s">
        <v>38</v>
      </c>
    </row>
    <row r="583" spans="1:32" ht="15" customHeight="1">
      <c r="A583" s="436" t="s">
        <v>130</v>
      </c>
      <c r="B583" s="449" t="s">
        <v>36</v>
      </c>
      <c r="C583" s="450" t="s">
        <v>158</v>
      </c>
      <c r="D583" s="434">
        <v>130040670023442</v>
      </c>
      <c r="E583" s="449" t="s">
        <v>0</v>
      </c>
      <c r="F583" s="449" t="s">
        <v>153</v>
      </c>
      <c r="G583" s="451" t="s">
        <v>76</v>
      </c>
      <c r="H583" s="435">
        <v>2025</v>
      </c>
      <c r="I583" s="436">
        <v>2</v>
      </c>
      <c r="J583" s="437">
        <v>45719</v>
      </c>
      <c r="K583" s="452" t="s">
        <v>38</v>
      </c>
      <c r="L583" s="439">
        <v>0.1135</v>
      </c>
      <c r="M583" s="439">
        <v>0.1343</v>
      </c>
      <c r="N583" s="439">
        <v>2.0799999999999999E-2</v>
      </c>
      <c r="O583" s="440" t="s">
        <v>154</v>
      </c>
      <c r="P583" s="441">
        <v>1</v>
      </c>
      <c r="Q583" s="439" t="s">
        <v>159</v>
      </c>
      <c r="R583" s="442">
        <v>59260</v>
      </c>
      <c r="S583" s="453">
        <f t="shared" si="244"/>
        <v>13039457</v>
      </c>
      <c r="T583" s="454">
        <v>999000</v>
      </c>
      <c r="U583" s="445">
        <f t="shared" ref="U583" si="245">T583-N583*S583</f>
        <v>727779.29440000001</v>
      </c>
      <c r="V583" s="449" t="s">
        <v>156</v>
      </c>
      <c r="W583" s="446" t="s">
        <v>78</v>
      </c>
      <c r="X583" s="449">
        <v>1.8</v>
      </c>
      <c r="Y583" s="449" t="s">
        <v>157</v>
      </c>
      <c r="Z583" s="449"/>
      <c r="AA583" s="449" t="s">
        <v>38</v>
      </c>
      <c r="AB583" s="447">
        <f t="shared" si="239"/>
        <v>7958.6180000000004</v>
      </c>
      <c r="AC583" s="449" t="s">
        <v>38</v>
      </c>
      <c r="AD583" s="448">
        <f t="shared" si="240"/>
        <v>106.66800000000001</v>
      </c>
      <c r="AE583" s="449" t="s">
        <v>38</v>
      </c>
      <c r="AF583" s="309" t="s">
        <v>38</v>
      </c>
    </row>
    <row r="584" spans="1:32" ht="15" customHeight="1">
      <c r="A584" s="436" t="s">
        <v>130</v>
      </c>
      <c r="B584" s="449" t="s">
        <v>36</v>
      </c>
      <c r="C584" s="450" t="s">
        <v>160</v>
      </c>
      <c r="D584" s="434">
        <v>130040670023448</v>
      </c>
      <c r="E584" s="449" t="s">
        <v>0</v>
      </c>
      <c r="F584" s="449" t="s">
        <v>153</v>
      </c>
      <c r="G584" s="451" t="s">
        <v>76</v>
      </c>
      <c r="H584" s="435">
        <v>2025</v>
      </c>
      <c r="I584" s="436">
        <v>2</v>
      </c>
      <c r="J584" s="437">
        <v>45719</v>
      </c>
      <c r="K584" s="452" t="s">
        <v>38</v>
      </c>
      <c r="L584" s="439">
        <v>0.1056</v>
      </c>
      <c r="M584" s="439">
        <v>0.11840000000000001</v>
      </c>
      <c r="N584" s="439">
        <v>1.2800000000000001E-2</v>
      </c>
      <c r="O584" s="440" t="s">
        <v>154</v>
      </c>
      <c r="P584" s="441">
        <v>1</v>
      </c>
      <c r="Q584" s="439" t="s">
        <v>161</v>
      </c>
      <c r="R584" s="442">
        <v>144000</v>
      </c>
      <c r="S584" s="453">
        <f t="shared" si="244"/>
        <v>10405092</v>
      </c>
      <c r="T584" s="454">
        <v>615000</v>
      </c>
      <c r="U584" s="445">
        <f>T584-N584*S584</f>
        <v>481814.8224</v>
      </c>
      <c r="V584" s="449" t="s">
        <v>150</v>
      </c>
      <c r="W584" s="446" t="s">
        <v>78</v>
      </c>
      <c r="X584" s="449">
        <v>1.4</v>
      </c>
      <c r="Y584" s="449" t="s">
        <v>151</v>
      </c>
      <c r="Z584" s="449"/>
      <c r="AA584" s="449" t="s">
        <v>38</v>
      </c>
      <c r="AB584" s="447">
        <f t="shared" si="239"/>
        <v>17049.600000000002</v>
      </c>
      <c r="AC584" s="449" t="s">
        <v>38</v>
      </c>
      <c r="AD584" s="448">
        <f t="shared" si="240"/>
        <v>201.6</v>
      </c>
      <c r="AE584" s="449" t="s">
        <v>38</v>
      </c>
      <c r="AF584" s="309" t="s">
        <v>38</v>
      </c>
    </row>
    <row r="585" spans="1:32" ht="15" customHeight="1">
      <c r="A585" s="436" t="s">
        <v>130</v>
      </c>
      <c r="B585" s="449" t="s">
        <v>36</v>
      </c>
      <c r="C585" s="450" t="s">
        <v>162</v>
      </c>
      <c r="D585" s="434">
        <v>130040670023445</v>
      </c>
      <c r="E585" s="449" t="s">
        <v>0</v>
      </c>
      <c r="F585" s="449" t="s">
        <v>153</v>
      </c>
      <c r="G585" s="451" t="s">
        <v>76</v>
      </c>
      <c r="H585" s="435">
        <v>2025</v>
      </c>
      <c r="I585" s="436">
        <v>2</v>
      </c>
      <c r="J585" s="437">
        <v>45719</v>
      </c>
      <c r="K585" s="452" t="s">
        <v>38</v>
      </c>
      <c r="L585" s="439">
        <v>9.5299999999999996E-2</v>
      </c>
      <c r="M585" s="439">
        <v>0.1072</v>
      </c>
      <c r="N585" s="439">
        <v>1.1900000000000001E-2</v>
      </c>
      <c r="O585" s="440" t="s">
        <v>154</v>
      </c>
      <c r="P585" s="441">
        <v>1</v>
      </c>
      <c r="Q585" s="439" t="s">
        <v>163</v>
      </c>
      <c r="R585" s="442">
        <v>95266</v>
      </c>
      <c r="S585" s="453">
        <f t="shared" si="244"/>
        <v>10524876</v>
      </c>
      <c r="T585" s="454">
        <v>570000</v>
      </c>
      <c r="U585" s="445">
        <f t="shared" ref="U585:U608" si="246">T585-N585*S585</f>
        <v>444753.97560000001</v>
      </c>
      <c r="V585" s="449" t="s">
        <v>150</v>
      </c>
      <c r="W585" s="446" t="s">
        <v>78</v>
      </c>
      <c r="X585" s="449">
        <v>1.2</v>
      </c>
      <c r="Y585" s="449" t="s">
        <v>151</v>
      </c>
      <c r="Z585" s="449"/>
      <c r="AA585" s="449" t="s">
        <v>38</v>
      </c>
      <c r="AB585" s="447">
        <f t="shared" si="239"/>
        <v>10212.5152</v>
      </c>
      <c r="AC585" s="449" t="s">
        <v>38</v>
      </c>
      <c r="AD585" s="448">
        <f t="shared" si="240"/>
        <v>114.3192</v>
      </c>
      <c r="AE585" s="449" t="s">
        <v>38</v>
      </c>
      <c r="AF585" s="309" t="s">
        <v>38</v>
      </c>
    </row>
    <row r="586" spans="1:32" ht="15" customHeight="1">
      <c r="A586" s="436" t="s">
        <v>130</v>
      </c>
      <c r="B586" s="449" t="s">
        <v>36</v>
      </c>
      <c r="C586" s="450" t="s">
        <v>165</v>
      </c>
      <c r="D586" s="434">
        <v>130040670023443</v>
      </c>
      <c r="E586" s="449" t="s">
        <v>0</v>
      </c>
      <c r="F586" s="449" t="s">
        <v>128</v>
      </c>
      <c r="G586" s="451" t="s">
        <v>76</v>
      </c>
      <c r="H586" s="435">
        <v>2025</v>
      </c>
      <c r="I586" s="436">
        <v>2</v>
      </c>
      <c r="J586" s="437">
        <v>45719</v>
      </c>
      <c r="K586" s="452" t="s">
        <v>38</v>
      </c>
      <c r="L586" s="439">
        <v>5.2299999999999999E-2</v>
      </c>
      <c r="M586" s="439">
        <v>5.8900000000000001E-2</v>
      </c>
      <c r="N586" s="439">
        <v>6.6E-3</v>
      </c>
      <c r="O586" s="440" t="s">
        <v>154</v>
      </c>
      <c r="P586" s="441">
        <v>1</v>
      </c>
      <c r="Q586" s="439" t="s">
        <v>166</v>
      </c>
      <c r="R586" s="455">
        <v>0</v>
      </c>
      <c r="S586" s="453">
        <f t="shared" si="244"/>
        <v>11079954</v>
      </c>
      <c r="T586" s="454">
        <v>315000</v>
      </c>
      <c r="U586" s="445">
        <f t="shared" si="246"/>
        <v>241872.30359999998</v>
      </c>
      <c r="V586" s="449" t="s">
        <v>167</v>
      </c>
      <c r="W586" s="446" t="s">
        <v>78</v>
      </c>
      <c r="X586" s="449">
        <v>1.06</v>
      </c>
      <c r="Y586" s="456" t="s">
        <v>168</v>
      </c>
      <c r="Z586" s="456"/>
      <c r="AA586" s="449" t="s">
        <v>38</v>
      </c>
      <c r="AB586" s="447">
        <f t="shared" si="239"/>
        <v>0</v>
      </c>
      <c r="AC586" s="449" t="s">
        <v>38</v>
      </c>
      <c r="AD586" s="448">
        <f t="shared" si="240"/>
        <v>0</v>
      </c>
      <c r="AE586" s="449" t="s">
        <v>38</v>
      </c>
      <c r="AF586" s="309" t="s">
        <v>38</v>
      </c>
    </row>
    <row r="587" spans="1:32" ht="15" customHeight="1">
      <c r="A587" s="436" t="s">
        <v>130</v>
      </c>
      <c r="B587" s="449" t="s">
        <v>36</v>
      </c>
      <c r="C587" s="450" t="s">
        <v>169</v>
      </c>
      <c r="D587" s="434">
        <v>130040670024534</v>
      </c>
      <c r="E587" s="449" t="s">
        <v>0</v>
      </c>
      <c r="F587" s="449" t="s">
        <v>153</v>
      </c>
      <c r="G587" s="451" t="s">
        <v>76</v>
      </c>
      <c r="H587" s="435">
        <v>2025</v>
      </c>
      <c r="I587" s="436">
        <v>2</v>
      </c>
      <c r="J587" s="437">
        <v>45719</v>
      </c>
      <c r="K587" s="452" t="s">
        <v>38</v>
      </c>
      <c r="L587" s="439">
        <v>3.4099999999999998E-2</v>
      </c>
      <c r="M587" s="439">
        <v>4.1300000000000003E-2</v>
      </c>
      <c r="N587" s="439">
        <v>7.1999999999999998E-3</v>
      </c>
      <c r="O587" s="440" t="s">
        <v>154</v>
      </c>
      <c r="P587" s="441">
        <v>1</v>
      </c>
      <c r="Q587" s="439" t="s">
        <v>170</v>
      </c>
      <c r="R587" s="442">
        <v>108000</v>
      </c>
      <c r="S587" s="453">
        <f t="shared" si="244"/>
        <v>13132090</v>
      </c>
      <c r="T587" s="454">
        <v>345000</v>
      </c>
      <c r="U587" s="445">
        <f t="shared" si="246"/>
        <v>250448.95199999999</v>
      </c>
      <c r="V587" s="449" t="s">
        <v>171</v>
      </c>
      <c r="W587" s="446" t="s">
        <v>78</v>
      </c>
      <c r="X587" s="449">
        <v>0.27</v>
      </c>
      <c r="Y587" s="449" t="s">
        <v>172</v>
      </c>
      <c r="Z587" s="449"/>
      <c r="AA587" s="449" t="s">
        <v>38</v>
      </c>
      <c r="AB587" s="447">
        <f t="shared" si="239"/>
        <v>4460.4000000000005</v>
      </c>
      <c r="AC587" s="449" t="s">
        <v>38</v>
      </c>
      <c r="AD587" s="448">
        <f t="shared" si="240"/>
        <v>29.160000000000004</v>
      </c>
      <c r="AE587" s="449" t="s">
        <v>38</v>
      </c>
      <c r="AF587" s="309" t="s">
        <v>38</v>
      </c>
    </row>
    <row r="588" spans="1:32" ht="15" customHeight="1">
      <c r="A588" s="436" t="s">
        <v>127</v>
      </c>
      <c r="B588" s="449" t="s">
        <v>36</v>
      </c>
      <c r="C588" s="450" t="s">
        <v>173</v>
      </c>
      <c r="D588" s="434">
        <v>130040670017658</v>
      </c>
      <c r="E588" s="449" t="s">
        <v>0</v>
      </c>
      <c r="F588" s="449" t="s">
        <v>128</v>
      </c>
      <c r="G588" s="451" t="s">
        <v>76</v>
      </c>
      <c r="H588" s="435">
        <v>2025</v>
      </c>
      <c r="I588" s="436">
        <v>2</v>
      </c>
      <c r="J588" s="437">
        <v>45719</v>
      </c>
      <c r="K588" s="452" t="s">
        <v>38</v>
      </c>
      <c r="L588" s="439">
        <v>4.3999999999999997E-2</v>
      </c>
      <c r="M588" s="439">
        <v>5.0799999999999998E-2</v>
      </c>
      <c r="N588" s="439">
        <v>6.7999999999999996E-3</v>
      </c>
      <c r="O588" s="440" t="s">
        <v>154</v>
      </c>
      <c r="P588" s="441">
        <v>1</v>
      </c>
      <c r="Q588" s="439" t="s">
        <v>174</v>
      </c>
      <c r="R588" s="455">
        <v>0</v>
      </c>
      <c r="S588" s="453">
        <f t="shared" si="244"/>
        <v>5881921</v>
      </c>
      <c r="T588" s="454">
        <v>325000</v>
      </c>
      <c r="U588" s="445">
        <f t="shared" si="246"/>
        <v>285002.93719999999</v>
      </c>
      <c r="V588" s="449" t="s">
        <v>171</v>
      </c>
      <c r="W588" s="446" t="s">
        <v>78</v>
      </c>
      <c r="X588" s="449">
        <v>0.8</v>
      </c>
      <c r="Y588" s="449" t="s">
        <v>172</v>
      </c>
      <c r="Z588" s="449"/>
      <c r="AA588" s="449" t="s">
        <v>38</v>
      </c>
      <c r="AB588" s="447">
        <f t="shared" si="239"/>
        <v>0</v>
      </c>
      <c r="AC588" s="449" t="s">
        <v>38</v>
      </c>
      <c r="AD588" s="448">
        <f t="shared" si="240"/>
        <v>0</v>
      </c>
      <c r="AE588" s="449" t="s">
        <v>38</v>
      </c>
      <c r="AF588" s="309" t="s">
        <v>38</v>
      </c>
    </row>
    <row r="589" spans="1:32" ht="15" customHeight="1">
      <c r="A589" s="436" t="s">
        <v>127</v>
      </c>
      <c r="B589" s="449" t="s">
        <v>36</v>
      </c>
      <c r="C589" s="450" t="s">
        <v>158</v>
      </c>
      <c r="D589" s="434">
        <v>130040670017656</v>
      </c>
      <c r="E589" s="449" t="s">
        <v>0</v>
      </c>
      <c r="F589" s="449" t="s">
        <v>128</v>
      </c>
      <c r="G589" s="451" t="s">
        <v>76</v>
      </c>
      <c r="H589" s="435">
        <v>2025</v>
      </c>
      <c r="I589" s="436">
        <v>2</v>
      </c>
      <c r="J589" s="437">
        <v>45719</v>
      </c>
      <c r="K589" s="452" t="s">
        <v>38</v>
      </c>
      <c r="L589" s="439">
        <v>9.6000000000000002E-2</v>
      </c>
      <c r="M589" s="439">
        <v>0.1069</v>
      </c>
      <c r="N589" s="439">
        <v>1.09E-2</v>
      </c>
      <c r="O589" s="440" t="s">
        <v>154</v>
      </c>
      <c r="P589" s="441">
        <v>1</v>
      </c>
      <c r="Q589" s="439" t="s">
        <v>175</v>
      </c>
      <c r="R589" s="442">
        <v>73091</v>
      </c>
      <c r="S589" s="453">
        <f t="shared" si="244"/>
        <v>6349317</v>
      </c>
      <c r="T589" s="454">
        <v>525000</v>
      </c>
      <c r="U589" s="445">
        <f t="shared" si="246"/>
        <v>455792.44469999999</v>
      </c>
      <c r="V589" s="449" t="s">
        <v>156</v>
      </c>
      <c r="W589" s="446" t="s">
        <v>78</v>
      </c>
      <c r="X589" s="449">
        <v>2.4</v>
      </c>
      <c r="Y589" s="449" t="s">
        <v>157</v>
      </c>
      <c r="Z589" s="449"/>
      <c r="AA589" s="449" t="s">
        <v>38</v>
      </c>
      <c r="AB589" s="447">
        <f t="shared" si="239"/>
        <v>7813.4278999999997</v>
      </c>
      <c r="AC589" s="449" t="s">
        <v>38</v>
      </c>
      <c r="AD589" s="448">
        <f t="shared" si="240"/>
        <v>175.41839999999999</v>
      </c>
      <c r="AE589" s="449" t="s">
        <v>38</v>
      </c>
      <c r="AF589" s="309" t="s">
        <v>38</v>
      </c>
    </row>
    <row r="590" spans="1:32" ht="15" customHeight="1">
      <c r="A590" s="436" t="s">
        <v>127</v>
      </c>
      <c r="B590" s="449" t="s">
        <v>36</v>
      </c>
      <c r="C590" s="450" t="s">
        <v>152</v>
      </c>
      <c r="D590" s="434">
        <v>130040670017662</v>
      </c>
      <c r="E590" s="449" t="s">
        <v>0</v>
      </c>
      <c r="F590" s="449" t="s">
        <v>128</v>
      </c>
      <c r="G590" s="451" t="s">
        <v>76</v>
      </c>
      <c r="H590" s="435">
        <v>2025</v>
      </c>
      <c r="I590" s="436">
        <v>2</v>
      </c>
      <c r="J590" s="437">
        <v>45719</v>
      </c>
      <c r="K590" s="452" t="s">
        <v>38</v>
      </c>
      <c r="L590" s="439">
        <v>4.8000000000000001E-2</v>
      </c>
      <c r="M590" s="439">
        <v>6.0299999999999999E-2</v>
      </c>
      <c r="N590" s="439">
        <v>1.23E-2</v>
      </c>
      <c r="O590" s="440" t="s">
        <v>154</v>
      </c>
      <c r="P590" s="441">
        <v>1</v>
      </c>
      <c r="Q590" s="439" t="s">
        <v>176</v>
      </c>
      <c r="R590" s="442">
        <v>0</v>
      </c>
      <c r="S590" s="453">
        <f t="shared" si="244"/>
        <v>5448564</v>
      </c>
      <c r="T590" s="454">
        <v>589000</v>
      </c>
      <c r="U590" s="445">
        <f t="shared" si="246"/>
        <v>521982.66279999999</v>
      </c>
      <c r="V590" s="449" t="s">
        <v>156</v>
      </c>
      <c r="W590" s="446" t="s">
        <v>78</v>
      </c>
      <c r="X590" s="449">
        <v>0.67</v>
      </c>
      <c r="Y590" s="449" t="s">
        <v>157</v>
      </c>
      <c r="Z590" s="449"/>
      <c r="AA590" s="449" t="s">
        <v>38</v>
      </c>
      <c r="AB590" s="447">
        <f t="shared" si="239"/>
        <v>0</v>
      </c>
      <c r="AC590" s="449" t="s">
        <v>38</v>
      </c>
      <c r="AD590" s="448">
        <f t="shared" si="240"/>
        <v>0</v>
      </c>
      <c r="AE590" s="449" t="s">
        <v>38</v>
      </c>
      <c r="AF590" s="309" t="s">
        <v>38</v>
      </c>
    </row>
    <row r="591" spans="1:32" ht="15" customHeight="1">
      <c r="A591" s="436" t="s">
        <v>124</v>
      </c>
      <c r="B591" s="449" t="s">
        <v>36</v>
      </c>
      <c r="C591" s="450" t="s">
        <v>147</v>
      </c>
      <c r="D591" s="434">
        <v>130040670021245</v>
      </c>
      <c r="E591" s="449" t="s">
        <v>0</v>
      </c>
      <c r="F591" s="449" t="s">
        <v>127</v>
      </c>
      <c r="G591" s="451" t="s">
        <v>76</v>
      </c>
      <c r="H591" s="435">
        <v>2025</v>
      </c>
      <c r="I591" s="436">
        <v>2</v>
      </c>
      <c r="J591" s="437">
        <v>45719</v>
      </c>
      <c r="K591" s="452" t="s">
        <v>38</v>
      </c>
      <c r="L591" s="439">
        <v>0.28100000000000003</v>
      </c>
      <c r="M591" s="439">
        <v>0.30070000000000002</v>
      </c>
      <c r="N591" s="439">
        <v>1.9699999999999999E-2</v>
      </c>
      <c r="O591" s="440" t="s">
        <v>154</v>
      </c>
      <c r="P591" s="441">
        <v>1</v>
      </c>
      <c r="Q591" s="439" t="s">
        <v>177</v>
      </c>
      <c r="R591" s="442">
        <v>1768211</v>
      </c>
      <c r="S591" s="453">
        <f t="shared" si="244"/>
        <v>41946476</v>
      </c>
      <c r="T591" s="454">
        <v>3150000</v>
      </c>
      <c r="U591" s="445">
        <f t="shared" si="246"/>
        <v>2323654.4227999998</v>
      </c>
      <c r="V591" s="449" t="s">
        <v>150</v>
      </c>
      <c r="W591" s="446" t="s">
        <v>78</v>
      </c>
      <c r="X591" s="449">
        <v>4.5</v>
      </c>
      <c r="Y591" s="449" t="s">
        <v>151</v>
      </c>
      <c r="Z591" s="449"/>
      <c r="AA591" s="449" t="s">
        <v>38</v>
      </c>
      <c r="AB591" s="447">
        <f t="shared" si="239"/>
        <v>531701.0477</v>
      </c>
      <c r="AC591" s="449" t="s">
        <v>38</v>
      </c>
      <c r="AD591" s="448">
        <f t="shared" si="240"/>
        <v>7956.9494999999997</v>
      </c>
      <c r="AE591" s="449" t="s">
        <v>38</v>
      </c>
      <c r="AF591" s="309" t="s">
        <v>38</v>
      </c>
    </row>
    <row r="592" spans="1:32" ht="15" customHeight="1">
      <c r="A592" s="436" t="s">
        <v>124</v>
      </c>
      <c r="B592" s="449" t="s">
        <v>36</v>
      </c>
      <c r="C592" s="450" t="s">
        <v>162</v>
      </c>
      <c r="D592" s="434">
        <v>130040670021246</v>
      </c>
      <c r="E592" s="449" t="s">
        <v>0</v>
      </c>
      <c r="F592" s="449" t="s">
        <v>127</v>
      </c>
      <c r="G592" s="451" t="s">
        <v>76</v>
      </c>
      <c r="H592" s="435">
        <v>2025</v>
      </c>
      <c r="I592" s="436">
        <v>2</v>
      </c>
      <c r="J592" s="437">
        <v>45719</v>
      </c>
      <c r="K592" s="452" t="s">
        <v>38</v>
      </c>
      <c r="L592" s="439">
        <v>4.7E-2</v>
      </c>
      <c r="M592" s="439">
        <v>5.6399999999999999E-2</v>
      </c>
      <c r="N592" s="439">
        <v>9.4000000000000004E-3</v>
      </c>
      <c r="O592" s="440" t="s">
        <v>154</v>
      </c>
      <c r="P592" s="441">
        <v>1</v>
      </c>
      <c r="Q592" s="439" t="s">
        <v>178</v>
      </c>
      <c r="R592" s="442">
        <v>2250000</v>
      </c>
      <c r="S592" s="453">
        <f t="shared" si="244"/>
        <v>41649818</v>
      </c>
      <c r="T592" s="454">
        <v>1350000</v>
      </c>
      <c r="U592" s="445">
        <f t="shared" si="246"/>
        <v>958491.7108</v>
      </c>
      <c r="V592" s="449" t="s">
        <v>150</v>
      </c>
      <c r="W592" s="446" t="s">
        <v>78</v>
      </c>
      <c r="X592" s="449">
        <v>0.5</v>
      </c>
      <c r="Y592" s="449" t="s">
        <v>151</v>
      </c>
      <c r="Z592" s="449"/>
      <c r="AA592" s="449" t="s">
        <v>38</v>
      </c>
      <c r="AB592" s="447">
        <f t="shared" si="239"/>
        <v>126900</v>
      </c>
      <c r="AC592" s="449" t="s">
        <v>38</v>
      </c>
      <c r="AD592" s="448">
        <f t="shared" si="240"/>
        <v>1125</v>
      </c>
      <c r="AE592" s="449" t="s">
        <v>38</v>
      </c>
      <c r="AF592" s="309" t="s">
        <v>38</v>
      </c>
    </row>
    <row r="593" spans="1:32" ht="15" customHeight="1">
      <c r="A593" s="436" t="s">
        <v>124</v>
      </c>
      <c r="B593" s="449" t="s">
        <v>36</v>
      </c>
      <c r="C593" s="450" t="s">
        <v>160</v>
      </c>
      <c r="D593" s="434">
        <v>130040670026558</v>
      </c>
      <c r="E593" s="449" t="s">
        <v>0</v>
      </c>
      <c r="F593" s="449" t="s">
        <v>127</v>
      </c>
      <c r="G593" s="451" t="s">
        <v>76</v>
      </c>
      <c r="H593" s="435">
        <v>2025</v>
      </c>
      <c r="I593" s="436">
        <v>2</v>
      </c>
      <c r="J593" s="437">
        <v>45719</v>
      </c>
      <c r="K593" s="452" t="s">
        <v>38</v>
      </c>
      <c r="L593" s="439">
        <v>0.06</v>
      </c>
      <c r="M593" s="439">
        <v>7.0599999999999996E-2</v>
      </c>
      <c r="N593" s="439">
        <v>1.06E-2</v>
      </c>
      <c r="O593" s="440" t="s">
        <v>154</v>
      </c>
      <c r="P593" s="441">
        <v>1</v>
      </c>
      <c r="Q593" s="439" t="s">
        <v>179</v>
      </c>
      <c r="R593" s="442">
        <v>2314000</v>
      </c>
      <c r="S593" s="453">
        <f t="shared" si="244"/>
        <v>41793710</v>
      </c>
      <c r="T593" s="454">
        <v>1530000</v>
      </c>
      <c r="U593" s="445">
        <f t="shared" si="246"/>
        <v>1086986.6740000001</v>
      </c>
      <c r="V593" s="449" t="s">
        <v>150</v>
      </c>
      <c r="W593" s="446" t="s">
        <v>78</v>
      </c>
      <c r="X593" s="449">
        <v>0.9</v>
      </c>
      <c r="Y593" s="449" t="s">
        <v>151</v>
      </c>
      <c r="Z593" s="449"/>
      <c r="AA593" s="449" t="s">
        <v>38</v>
      </c>
      <c r="AB593" s="447">
        <f t="shared" si="239"/>
        <v>163368.4</v>
      </c>
      <c r="AC593" s="449" t="s">
        <v>38</v>
      </c>
      <c r="AD593" s="448">
        <f t="shared" si="240"/>
        <v>2082.6</v>
      </c>
      <c r="AE593" s="449" t="s">
        <v>38</v>
      </c>
      <c r="AF593" s="309" t="s">
        <v>38</v>
      </c>
    </row>
    <row r="594" spans="1:32" ht="15" customHeight="1">
      <c r="A594" s="436" t="s">
        <v>124</v>
      </c>
      <c r="B594" s="449" t="s">
        <v>36</v>
      </c>
      <c r="C594" s="450" t="s">
        <v>180</v>
      </c>
      <c r="D594" s="434">
        <v>130040670021244</v>
      </c>
      <c r="E594" s="449" t="s">
        <v>0</v>
      </c>
      <c r="F594" s="449" t="s">
        <v>128</v>
      </c>
      <c r="G594" s="451" t="s">
        <v>76</v>
      </c>
      <c r="H594" s="435">
        <v>2025</v>
      </c>
      <c r="I594" s="436">
        <v>2</v>
      </c>
      <c r="J594" s="437">
        <v>45719</v>
      </c>
      <c r="K594" s="452" t="s">
        <v>38</v>
      </c>
      <c r="L594" s="439">
        <v>0.12</v>
      </c>
      <c r="M594" s="439">
        <v>0.1331</v>
      </c>
      <c r="N594" s="439">
        <v>1.3100000000000001E-2</v>
      </c>
      <c r="O594" s="440" t="s">
        <v>154</v>
      </c>
      <c r="P594" s="441">
        <v>1</v>
      </c>
      <c r="Q594" s="439" t="s">
        <v>181</v>
      </c>
      <c r="R594" s="442">
        <v>987616</v>
      </c>
      <c r="S594" s="453">
        <f t="shared" si="244"/>
        <v>25842974</v>
      </c>
      <c r="T594" s="454">
        <v>1260000</v>
      </c>
      <c r="U594" s="445">
        <f t="shared" si="246"/>
        <v>921457.04059999995</v>
      </c>
      <c r="V594" s="449" t="s">
        <v>156</v>
      </c>
      <c r="W594" s="446" t="s">
        <v>78</v>
      </c>
      <c r="X594" s="449">
        <v>3.42</v>
      </c>
      <c r="Y594" s="449" t="s">
        <v>157</v>
      </c>
      <c r="Z594" s="449"/>
      <c r="AA594" s="449" t="s">
        <v>38</v>
      </c>
      <c r="AB594" s="447">
        <f t="shared" si="239"/>
        <v>131451.68959999998</v>
      </c>
      <c r="AC594" s="449" t="s">
        <v>38</v>
      </c>
      <c r="AD594" s="448">
        <f t="shared" si="240"/>
        <v>3377.6467199999997</v>
      </c>
      <c r="AE594" s="449" t="s">
        <v>38</v>
      </c>
      <c r="AF594" s="309" t="s">
        <v>38</v>
      </c>
    </row>
    <row r="595" spans="1:32" ht="15" customHeight="1">
      <c r="A595" s="436" t="s">
        <v>113</v>
      </c>
      <c r="B595" s="449" t="s">
        <v>36</v>
      </c>
      <c r="C595" s="450" t="s">
        <v>182</v>
      </c>
      <c r="D595" s="434">
        <v>130040670039455</v>
      </c>
      <c r="E595" s="449" t="s">
        <v>0</v>
      </c>
      <c r="F595" s="449" t="s">
        <v>183</v>
      </c>
      <c r="G595" s="451" t="s">
        <v>76</v>
      </c>
      <c r="H595" s="435">
        <v>2025</v>
      </c>
      <c r="I595" s="436">
        <v>2</v>
      </c>
      <c r="J595" s="437">
        <v>45719</v>
      </c>
      <c r="K595" s="452" t="s">
        <v>38</v>
      </c>
      <c r="L595" s="439">
        <v>6.5299999999999997E-2</v>
      </c>
      <c r="M595" s="439">
        <v>7.5899999999999995E-2</v>
      </c>
      <c r="N595" s="439">
        <v>1.06E-2</v>
      </c>
      <c r="O595" s="440" t="s">
        <v>154</v>
      </c>
      <c r="P595" s="441">
        <v>1</v>
      </c>
      <c r="Q595" s="439" t="s">
        <v>184</v>
      </c>
      <c r="R595" s="442">
        <v>448002</v>
      </c>
      <c r="S595" s="453">
        <f t="shared" si="244"/>
        <v>23017772</v>
      </c>
      <c r="T595" s="454">
        <v>1020000</v>
      </c>
      <c r="U595" s="445">
        <f t="shared" si="246"/>
        <v>776011.61679999996</v>
      </c>
      <c r="V595" s="449" t="s">
        <v>156</v>
      </c>
      <c r="W595" s="446" t="s">
        <v>78</v>
      </c>
      <c r="X595" s="449">
        <v>1.33</v>
      </c>
      <c r="Y595" s="449" t="s">
        <v>157</v>
      </c>
      <c r="Z595" s="449"/>
      <c r="AA595" s="449" t="s">
        <v>38</v>
      </c>
      <c r="AB595" s="447">
        <f t="shared" si="239"/>
        <v>34003.351799999997</v>
      </c>
      <c r="AC595" s="449" t="s">
        <v>38</v>
      </c>
      <c r="AD595" s="448">
        <f t="shared" si="240"/>
        <v>595.84266000000002</v>
      </c>
      <c r="AE595" s="449" t="s">
        <v>38</v>
      </c>
      <c r="AF595" s="309" t="s">
        <v>38</v>
      </c>
    </row>
    <row r="596" spans="1:32" ht="15" customHeight="1">
      <c r="A596" s="436" t="s">
        <v>113</v>
      </c>
      <c r="B596" s="449" t="s">
        <v>36</v>
      </c>
      <c r="C596" s="450" t="s">
        <v>185</v>
      </c>
      <c r="D596" s="434">
        <v>130040670023906</v>
      </c>
      <c r="E596" s="449" t="s">
        <v>0</v>
      </c>
      <c r="F596" s="449" t="s">
        <v>128</v>
      </c>
      <c r="G596" s="451" t="s">
        <v>76</v>
      </c>
      <c r="H596" s="435">
        <v>2025</v>
      </c>
      <c r="I596" s="436">
        <v>2</v>
      </c>
      <c r="J596" s="437">
        <v>45719</v>
      </c>
      <c r="K596" s="452" t="s">
        <v>38</v>
      </c>
      <c r="L596" s="439">
        <v>3.9300000000000002E-2</v>
      </c>
      <c r="M596" s="439">
        <v>4.6699999999999998E-2</v>
      </c>
      <c r="N596" s="439">
        <v>7.4000000000000003E-3</v>
      </c>
      <c r="O596" s="440" t="s">
        <v>154</v>
      </c>
      <c r="P596" s="441">
        <v>1</v>
      </c>
      <c r="Q596" s="439" t="s">
        <v>186</v>
      </c>
      <c r="R596" s="442">
        <v>283500</v>
      </c>
      <c r="S596" s="453">
        <f t="shared" si="244"/>
        <v>9382527</v>
      </c>
      <c r="T596" s="454">
        <v>355000</v>
      </c>
      <c r="U596" s="445">
        <f t="shared" si="246"/>
        <v>285569.3002</v>
      </c>
      <c r="V596" s="449" t="s">
        <v>171</v>
      </c>
      <c r="W596" s="446" t="s">
        <v>78</v>
      </c>
      <c r="X596" s="449">
        <v>0.36</v>
      </c>
      <c r="Y596" s="449" t="s">
        <v>172</v>
      </c>
      <c r="Z596" s="449"/>
      <c r="AA596" s="449" t="s">
        <v>38</v>
      </c>
      <c r="AB596" s="447">
        <f t="shared" si="239"/>
        <v>13239.449999999999</v>
      </c>
      <c r="AC596" s="449" t="s">
        <v>38</v>
      </c>
      <c r="AD596" s="448">
        <f t="shared" si="240"/>
        <v>102.06</v>
      </c>
      <c r="AE596" s="449" t="s">
        <v>38</v>
      </c>
      <c r="AF596" s="309" t="s">
        <v>38</v>
      </c>
    </row>
    <row r="597" spans="1:32" ht="15" customHeight="1">
      <c r="A597" s="436" t="s">
        <v>113</v>
      </c>
      <c r="B597" s="449" t="s">
        <v>36</v>
      </c>
      <c r="C597" s="450" t="s">
        <v>152</v>
      </c>
      <c r="D597" s="434">
        <v>130040670023899</v>
      </c>
      <c r="E597" s="449" t="s">
        <v>0</v>
      </c>
      <c r="F597" s="449" t="s">
        <v>128</v>
      </c>
      <c r="G597" s="451" t="s">
        <v>76</v>
      </c>
      <c r="H597" s="435">
        <v>2025</v>
      </c>
      <c r="I597" s="436">
        <v>2</v>
      </c>
      <c r="J597" s="437">
        <v>45719</v>
      </c>
      <c r="K597" s="452" t="s">
        <v>38</v>
      </c>
      <c r="L597" s="439">
        <v>0.12970000000000001</v>
      </c>
      <c r="M597" s="439">
        <v>0.15260000000000001</v>
      </c>
      <c r="N597" s="439">
        <v>2.29E-2</v>
      </c>
      <c r="O597" s="440" t="s">
        <v>154</v>
      </c>
      <c r="P597" s="441">
        <v>1</v>
      </c>
      <c r="Q597" s="439" t="s">
        <v>155</v>
      </c>
      <c r="R597" s="442">
        <v>234000</v>
      </c>
      <c r="S597" s="453">
        <f t="shared" si="244"/>
        <v>9422587</v>
      </c>
      <c r="T597" s="454">
        <v>1100000</v>
      </c>
      <c r="U597" s="445">
        <f t="shared" si="246"/>
        <v>884222.75769999996</v>
      </c>
      <c r="V597" s="449" t="s">
        <v>156</v>
      </c>
      <c r="W597" s="446" t="s">
        <v>78</v>
      </c>
      <c r="X597" s="449">
        <v>2.7</v>
      </c>
      <c r="Y597" s="449" t="s">
        <v>157</v>
      </c>
      <c r="Z597" s="449"/>
      <c r="AA597" s="449" t="s">
        <v>38</v>
      </c>
      <c r="AB597" s="447">
        <f t="shared" si="239"/>
        <v>35708.400000000001</v>
      </c>
      <c r="AC597" s="449" t="s">
        <v>38</v>
      </c>
      <c r="AD597" s="448">
        <f t="shared" si="240"/>
        <v>631.79999999999995</v>
      </c>
      <c r="AE597" s="449" t="s">
        <v>38</v>
      </c>
      <c r="AF597" s="309" t="s">
        <v>38</v>
      </c>
    </row>
    <row r="598" spans="1:32" ht="15" customHeight="1">
      <c r="A598" s="436" t="s">
        <v>113</v>
      </c>
      <c r="B598" s="449" t="s">
        <v>36</v>
      </c>
      <c r="C598" s="450" t="s">
        <v>187</v>
      </c>
      <c r="D598" s="434">
        <v>130040670039442</v>
      </c>
      <c r="E598" s="449" t="s">
        <v>0</v>
      </c>
      <c r="F598" s="449" t="s">
        <v>183</v>
      </c>
      <c r="G598" s="451" t="s">
        <v>76</v>
      </c>
      <c r="H598" s="435">
        <v>2025</v>
      </c>
      <c r="I598" s="436">
        <v>2</v>
      </c>
      <c r="J598" s="437">
        <v>45719</v>
      </c>
      <c r="K598" s="452" t="s">
        <v>38</v>
      </c>
      <c r="L598" s="439">
        <v>6.6699999999999995E-2</v>
      </c>
      <c r="M598" s="439">
        <v>7.7299999999999994E-2</v>
      </c>
      <c r="N598" s="439">
        <v>1.06E-2</v>
      </c>
      <c r="O598" s="440" t="s">
        <v>154</v>
      </c>
      <c r="P598" s="441">
        <v>1</v>
      </c>
      <c r="Q598" s="439" t="s">
        <v>188</v>
      </c>
      <c r="R598" s="442">
        <v>445910</v>
      </c>
      <c r="S598" s="453">
        <f t="shared" si="244"/>
        <v>22938302</v>
      </c>
      <c r="T598" s="454">
        <v>1020000</v>
      </c>
      <c r="U598" s="445">
        <f t="shared" si="246"/>
        <v>776853.99879999994</v>
      </c>
      <c r="V598" s="449" t="s">
        <v>156</v>
      </c>
      <c r="W598" s="446" t="s">
        <v>78</v>
      </c>
      <c r="X598" s="449">
        <v>1.39</v>
      </c>
      <c r="Y598" s="449" t="s">
        <v>157</v>
      </c>
      <c r="Z598" s="449"/>
      <c r="AA598" s="449" t="s">
        <v>38</v>
      </c>
      <c r="AB598" s="447">
        <f t="shared" si="239"/>
        <v>34468.843000000001</v>
      </c>
      <c r="AC598" s="449" t="s">
        <v>38</v>
      </c>
      <c r="AD598" s="448">
        <f t="shared" si="240"/>
        <v>619.81489999999985</v>
      </c>
      <c r="AE598" s="449" t="s">
        <v>38</v>
      </c>
      <c r="AF598" s="309" t="s">
        <v>38</v>
      </c>
    </row>
    <row r="599" spans="1:32" ht="15" customHeight="1">
      <c r="A599" s="436" t="s">
        <v>113</v>
      </c>
      <c r="B599" s="449" t="s">
        <v>36</v>
      </c>
      <c r="C599" s="450" t="s">
        <v>158</v>
      </c>
      <c r="D599" s="434">
        <v>130040670023900</v>
      </c>
      <c r="E599" s="449" t="s">
        <v>0</v>
      </c>
      <c r="F599" s="449" t="s">
        <v>128</v>
      </c>
      <c r="G599" s="451" t="s">
        <v>76</v>
      </c>
      <c r="H599" s="435">
        <v>2025</v>
      </c>
      <c r="I599" s="436">
        <v>2</v>
      </c>
      <c r="J599" s="437">
        <v>45719</v>
      </c>
      <c r="K599" s="452" t="s">
        <v>38</v>
      </c>
      <c r="L599" s="439">
        <v>0.1128</v>
      </c>
      <c r="M599" s="439">
        <v>0.1336</v>
      </c>
      <c r="N599" s="439">
        <v>2.0799999999999999E-2</v>
      </c>
      <c r="O599" s="440" t="s">
        <v>154</v>
      </c>
      <c r="P599" s="441">
        <v>1</v>
      </c>
      <c r="Q599" s="439" t="s">
        <v>189</v>
      </c>
      <c r="R599" s="442">
        <v>222672</v>
      </c>
      <c r="S599" s="453">
        <f t="shared" si="244"/>
        <v>9442524</v>
      </c>
      <c r="T599" s="454">
        <v>999000</v>
      </c>
      <c r="U599" s="445">
        <f t="shared" si="246"/>
        <v>802595.50080000004</v>
      </c>
      <c r="V599" s="449" t="s">
        <v>156</v>
      </c>
      <c r="W599" s="446" t="s">
        <v>78</v>
      </c>
      <c r="X599" s="449">
        <v>1.5</v>
      </c>
      <c r="Y599" s="449" t="s">
        <v>157</v>
      </c>
      <c r="Z599" s="449"/>
      <c r="AA599" s="449" t="s">
        <v>38</v>
      </c>
      <c r="AB599" s="447">
        <f t="shared" si="239"/>
        <v>29748.979199999998</v>
      </c>
      <c r="AC599" s="449" t="s">
        <v>38</v>
      </c>
      <c r="AD599" s="448">
        <f t="shared" si="240"/>
        <v>334.00799999999998</v>
      </c>
      <c r="AE599" s="449" t="s">
        <v>38</v>
      </c>
      <c r="AF599" s="309" t="s">
        <v>38</v>
      </c>
    </row>
    <row r="600" spans="1:32" ht="15" customHeight="1">
      <c r="A600" s="436" t="s">
        <v>113</v>
      </c>
      <c r="B600" s="449" t="s">
        <v>36</v>
      </c>
      <c r="C600" s="450" t="s">
        <v>190</v>
      </c>
      <c r="D600" s="434">
        <v>130040670017669</v>
      </c>
      <c r="E600" s="449" t="s">
        <v>0</v>
      </c>
      <c r="F600" s="449" t="s">
        <v>191</v>
      </c>
      <c r="G600" s="451" t="s">
        <v>76</v>
      </c>
      <c r="H600" s="435">
        <v>2025</v>
      </c>
      <c r="I600" s="436">
        <v>2</v>
      </c>
      <c r="J600" s="437">
        <v>45719</v>
      </c>
      <c r="K600" s="452" t="s">
        <v>38</v>
      </c>
      <c r="L600" s="439">
        <v>6.1499999999999999E-2</v>
      </c>
      <c r="M600" s="439">
        <v>6.9400000000000003E-2</v>
      </c>
      <c r="N600" s="439">
        <v>7.9000000000000008E-3</v>
      </c>
      <c r="O600" s="440" t="s">
        <v>154</v>
      </c>
      <c r="P600" s="441">
        <v>1</v>
      </c>
      <c r="Q600" s="439" t="s">
        <v>192</v>
      </c>
      <c r="R600" s="442">
        <v>811057</v>
      </c>
      <c r="S600" s="453">
        <f t="shared" si="244"/>
        <v>30700680</v>
      </c>
      <c r="T600" s="454">
        <v>760000</v>
      </c>
      <c r="U600" s="445">
        <f t="shared" si="246"/>
        <v>517464.62799999997</v>
      </c>
      <c r="V600" s="449" t="s">
        <v>156</v>
      </c>
      <c r="W600" s="446" t="s">
        <v>78</v>
      </c>
      <c r="X600" s="449">
        <v>1.1000000000000001</v>
      </c>
      <c r="Y600" s="449" t="s">
        <v>157</v>
      </c>
      <c r="Z600" s="449"/>
      <c r="AA600" s="449" t="s">
        <v>38</v>
      </c>
      <c r="AB600" s="447">
        <f t="shared" si="239"/>
        <v>56287.355800000005</v>
      </c>
      <c r="AC600" s="449" t="s">
        <v>38</v>
      </c>
      <c r="AD600" s="448">
        <f t="shared" si="240"/>
        <v>892.16270000000009</v>
      </c>
      <c r="AE600" s="449" t="s">
        <v>38</v>
      </c>
      <c r="AF600" s="309" t="s">
        <v>38</v>
      </c>
    </row>
    <row r="601" spans="1:32" ht="15" customHeight="1">
      <c r="A601" s="436" t="s">
        <v>106</v>
      </c>
      <c r="B601" s="449" t="s">
        <v>36</v>
      </c>
      <c r="C601" s="450" t="s">
        <v>147</v>
      </c>
      <c r="D601" s="434">
        <v>130040670018928</v>
      </c>
      <c r="E601" s="449" t="s">
        <v>0</v>
      </c>
      <c r="F601" s="449" t="s">
        <v>113</v>
      </c>
      <c r="G601" s="451" t="s">
        <v>76</v>
      </c>
      <c r="H601" s="435">
        <v>2025</v>
      </c>
      <c r="I601" s="436">
        <v>2</v>
      </c>
      <c r="J601" s="437">
        <v>45719</v>
      </c>
      <c r="K601" s="452" t="s">
        <v>38</v>
      </c>
      <c r="L601" s="439">
        <v>0.31</v>
      </c>
      <c r="M601" s="439">
        <v>0.34499999999999997</v>
      </c>
      <c r="N601" s="439">
        <v>3.5000000000000003E-2</v>
      </c>
      <c r="O601" s="440" t="s">
        <v>154</v>
      </c>
      <c r="P601" s="441">
        <v>1</v>
      </c>
      <c r="Q601" s="439" t="s">
        <v>193</v>
      </c>
      <c r="R601" s="442">
        <v>448300</v>
      </c>
      <c r="S601" s="453">
        <f t="shared" si="244"/>
        <v>20140792</v>
      </c>
      <c r="T601" s="454">
        <v>4200000</v>
      </c>
      <c r="U601" s="445">
        <f t="shared" si="246"/>
        <v>3495072.28</v>
      </c>
      <c r="V601" s="449" t="s">
        <v>150</v>
      </c>
      <c r="W601" s="446" t="s">
        <v>78</v>
      </c>
      <c r="X601" s="449">
        <v>6.2</v>
      </c>
      <c r="Y601" s="449" t="s">
        <v>151</v>
      </c>
      <c r="Z601" s="449"/>
      <c r="AA601" s="449" t="s">
        <v>38</v>
      </c>
      <c r="AB601" s="447">
        <f t="shared" si="239"/>
        <v>154663.5</v>
      </c>
      <c r="AC601" s="449" t="s">
        <v>38</v>
      </c>
      <c r="AD601" s="448">
        <f t="shared" si="240"/>
        <v>2779.46</v>
      </c>
      <c r="AE601" s="449" t="s">
        <v>38</v>
      </c>
      <c r="AF601" s="323" t="s">
        <v>38</v>
      </c>
    </row>
    <row r="602" spans="1:32" ht="15" customHeight="1">
      <c r="A602" s="436" t="s">
        <v>106</v>
      </c>
      <c r="B602" s="449" t="s">
        <v>36</v>
      </c>
      <c r="C602" s="450" t="s">
        <v>158</v>
      </c>
      <c r="D602" s="434">
        <v>130040670018919</v>
      </c>
      <c r="E602" s="449" t="s">
        <v>0</v>
      </c>
      <c r="F602" s="449" t="s">
        <v>128</v>
      </c>
      <c r="G602" s="451" t="s">
        <v>76</v>
      </c>
      <c r="H602" s="435">
        <v>2025</v>
      </c>
      <c r="I602" s="436">
        <v>2</v>
      </c>
      <c r="J602" s="437">
        <v>45719</v>
      </c>
      <c r="K602" s="452" t="s">
        <v>38</v>
      </c>
      <c r="L602" s="439">
        <v>0.128</v>
      </c>
      <c r="M602" s="439">
        <v>0.1457</v>
      </c>
      <c r="N602" s="439">
        <v>1.77E-2</v>
      </c>
      <c r="O602" s="440" t="s">
        <v>154</v>
      </c>
      <c r="P602" s="441">
        <v>1</v>
      </c>
      <c r="Q602" s="439" t="s">
        <v>194</v>
      </c>
      <c r="R602" s="442">
        <v>169093</v>
      </c>
      <c r="S602" s="453">
        <f t="shared" si="244"/>
        <v>10657827</v>
      </c>
      <c r="T602" s="454">
        <v>1700000</v>
      </c>
      <c r="U602" s="445">
        <f t="shared" si="246"/>
        <v>1511356.4621000001</v>
      </c>
      <c r="V602" s="449" t="s">
        <v>150</v>
      </c>
      <c r="W602" s="446" t="s">
        <v>78</v>
      </c>
      <c r="X602" s="449">
        <v>3.55</v>
      </c>
      <c r="Y602" s="449" t="s">
        <v>151</v>
      </c>
      <c r="Z602" s="449"/>
      <c r="AA602" s="449" t="s">
        <v>38</v>
      </c>
      <c r="AB602" s="447">
        <f t="shared" si="239"/>
        <v>24636.8501</v>
      </c>
      <c r="AC602" s="449" t="s">
        <v>38</v>
      </c>
      <c r="AD602" s="448">
        <f t="shared" si="240"/>
        <v>600.28015000000005</v>
      </c>
      <c r="AE602" s="449" t="s">
        <v>38</v>
      </c>
      <c r="AF602" s="323" t="s">
        <v>38</v>
      </c>
    </row>
    <row r="603" spans="1:32" ht="15" customHeight="1">
      <c r="A603" s="436" t="s">
        <v>106</v>
      </c>
      <c r="B603" s="449" t="s">
        <v>36</v>
      </c>
      <c r="C603" s="450" t="s">
        <v>195</v>
      </c>
      <c r="D603" s="434">
        <v>130040670027765</v>
      </c>
      <c r="E603" s="449" t="s">
        <v>0</v>
      </c>
      <c r="F603" s="449" t="s">
        <v>124</v>
      </c>
      <c r="G603" s="451" t="s">
        <v>76</v>
      </c>
      <c r="H603" s="435">
        <v>2025</v>
      </c>
      <c r="I603" s="436">
        <v>2</v>
      </c>
      <c r="J603" s="437">
        <v>45719</v>
      </c>
      <c r="K603" s="452" t="s">
        <v>38</v>
      </c>
      <c r="L603" s="439">
        <v>3.2000000000000001E-2</v>
      </c>
      <c r="M603" s="439">
        <v>3.9899999999999998E-2</v>
      </c>
      <c r="N603" s="439">
        <v>7.9000000000000008E-3</v>
      </c>
      <c r="O603" s="440" t="s">
        <v>154</v>
      </c>
      <c r="P603" s="441">
        <v>1</v>
      </c>
      <c r="Q603" s="439" t="s">
        <v>196</v>
      </c>
      <c r="R603" s="442">
        <v>2174589</v>
      </c>
      <c r="S603" s="453">
        <f t="shared" si="244"/>
        <v>60711922</v>
      </c>
      <c r="T603" s="454">
        <v>1520000</v>
      </c>
      <c r="U603" s="445">
        <f t="shared" si="246"/>
        <v>1040375.8162</v>
      </c>
      <c r="V603" s="449" t="s">
        <v>150</v>
      </c>
      <c r="W603" s="446" t="s">
        <v>78</v>
      </c>
      <c r="X603" s="449">
        <v>0.56999999999999995</v>
      </c>
      <c r="Y603" s="449" t="s">
        <v>151</v>
      </c>
      <c r="Z603" s="449"/>
      <c r="AA603" s="449" t="s">
        <v>38</v>
      </c>
      <c r="AB603" s="447">
        <f t="shared" si="239"/>
        <v>86766.1011</v>
      </c>
      <c r="AC603" s="449" t="s">
        <v>38</v>
      </c>
      <c r="AD603" s="448">
        <f t="shared" si="240"/>
        <v>1239.5157300000001</v>
      </c>
      <c r="AE603" s="449" t="s">
        <v>38</v>
      </c>
      <c r="AF603" s="323" t="s">
        <v>38</v>
      </c>
    </row>
    <row r="604" spans="1:32" ht="15" customHeight="1">
      <c r="A604" s="436" t="s">
        <v>106</v>
      </c>
      <c r="B604" s="449" t="s">
        <v>36</v>
      </c>
      <c r="C604" s="450" t="s">
        <v>162</v>
      </c>
      <c r="D604" s="434">
        <v>130040670018929</v>
      </c>
      <c r="E604" s="449" t="s">
        <v>0</v>
      </c>
      <c r="F604" s="449" t="s">
        <v>113</v>
      </c>
      <c r="G604" s="451" t="s">
        <v>76</v>
      </c>
      <c r="H604" s="435">
        <v>2025</v>
      </c>
      <c r="I604" s="436">
        <v>2</v>
      </c>
      <c r="J604" s="437">
        <v>45719</v>
      </c>
      <c r="K604" s="452" t="s">
        <v>38</v>
      </c>
      <c r="L604" s="439">
        <v>5.3999999999999999E-2</v>
      </c>
      <c r="M604" s="439">
        <v>6.3399999999999998E-2</v>
      </c>
      <c r="N604" s="439">
        <v>9.4000000000000004E-3</v>
      </c>
      <c r="O604" s="440" t="s">
        <v>154</v>
      </c>
      <c r="P604" s="441">
        <v>1</v>
      </c>
      <c r="Q604" s="439" t="s">
        <v>197</v>
      </c>
      <c r="R604" s="442">
        <v>385500</v>
      </c>
      <c r="S604" s="453">
        <f t="shared" si="244"/>
        <v>20042595</v>
      </c>
      <c r="T604" s="454">
        <v>902000</v>
      </c>
      <c r="U604" s="445">
        <f t="shared" si="246"/>
        <v>713599.60699999996</v>
      </c>
      <c r="V604" s="449" t="s">
        <v>150</v>
      </c>
      <c r="W604" s="446" t="s">
        <v>78</v>
      </c>
      <c r="X604" s="449">
        <v>0.65</v>
      </c>
      <c r="Y604" s="449" t="s">
        <v>151</v>
      </c>
      <c r="Z604" s="449"/>
      <c r="AA604" s="449" t="s">
        <v>38</v>
      </c>
      <c r="AB604" s="447">
        <f t="shared" si="239"/>
        <v>24440.7</v>
      </c>
      <c r="AC604" s="449" t="s">
        <v>38</v>
      </c>
      <c r="AD604" s="448">
        <f t="shared" si="240"/>
        <v>250.57499999999999</v>
      </c>
      <c r="AE604" s="449" t="s">
        <v>38</v>
      </c>
      <c r="AF604" s="323" t="s">
        <v>38</v>
      </c>
    </row>
    <row r="605" spans="1:32" ht="15" customHeight="1">
      <c r="A605" s="436" t="s">
        <v>106</v>
      </c>
      <c r="B605" s="449" t="s">
        <v>36</v>
      </c>
      <c r="C605" s="450" t="s">
        <v>160</v>
      </c>
      <c r="D605" s="434">
        <v>130040670018930</v>
      </c>
      <c r="E605" s="449" t="s">
        <v>0</v>
      </c>
      <c r="F605" s="449" t="s">
        <v>113</v>
      </c>
      <c r="G605" s="451" t="s">
        <v>76</v>
      </c>
      <c r="H605" s="435">
        <v>2025</v>
      </c>
      <c r="I605" s="436">
        <v>2</v>
      </c>
      <c r="J605" s="437">
        <v>45719</v>
      </c>
      <c r="K605" s="452" t="s">
        <v>38</v>
      </c>
      <c r="L605" s="439">
        <v>0.08</v>
      </c>
      <c r="M605" s="439">
        <v>9.0700000000000003E-2</v>
      </c>
      <c r="N605" s="439">
        <v>1.0699999999999999E-2</v>
      </c>
      <c r="O605" s="440" t="s">
        <v>154</v>
      </c>
      <c r="P605" s="441">
        <v>1</v>
      </c>
      <c r="Q605" s="439" t="s">
        <v>198</v>
      </c>
      <c r="R605" s="442">
        <v>393771</v>
      </c>
      <c r="S605" s="453">
        <f t="shared" si="244"/>
        <v>20243000</v>
      </c>
      <c r="T605" s="454">
        <v>1028000</v>
      </c>
      <c r="U605" s="445">
        <f t="shared" si="246"/>
        <v>811399.9</v>
      </c>
      <c r="V605" s="449" t="s">
        <v>150</v>
      </c>
      <c r="W605" s="446" t="s">
        <v>78</v>
      </c>
      <c r="X605" s="449">
        <v>1.2</v>
      </c>
      <c r="Y605" s="449" t="s">
        <v>151</v>
      </c>
      <c r="Z605" s="449"/>
      <c r="AA605" s="449" t="s">
        <v>38</v>
      </c>
      <c r="AB605" s="447">
        <f t="shared" si="239"/>
        <v>35715.029699999999</v>
      </c>
      <c r="AC605" s="449" t="s">
        <v>38</v>
      </c>
      <c r="AD605" s="448">
        <f t="shared" si="240"/>
        <v>472.52519999999993</v>
      </c>
      <c r="AE605" s="449" t="s">
        <v>38</v>
      </c>
      <c r="AF605" s="323" t="s">
        <v>38</v>
      </c>
    </row>
    <row r="606" spans="1:32" ht="15" customHeight="1">
      <c r="A606" s="436" t="s">
        <v>106</v>
      </c>
      <c r="B606" s="449" t="s">
        <v>36</v>
      </c>
      <c r="C606" s="450" t="s">
        <v>199</v>
      </c>
      <c r="D606" s="434">
        <v>130040670018925</v>
      </c>
      <c r="E606" s="449" t="s">
        <v>0</v>
      </c>
      <c r="F606" s="449" t="s">
        <v>113</v>
      </c>
      <c r="G606" s="451" t="s">
        <v>76</v>
      </c>
      <c r="H606" s="435">
        <v>2025</v>
      </c>
      <c r="I606" s="436">
        <v>2</v>
      </c>
      <c r="J606" s="437">
        <v>45719</v>
      </c>
      <c r="K606" s="452" t="s">
        <v>38</v>
      </c>
      <c r="L606" s="439">
        <v>3.6999999999999998E-2</v>
      </c>
      <c r="M606" s="439">
        <v>4.24E-2</v>
      </c>
      <c r="N606" s="439">
        <v>5.4000000000000003E-3</v>
      </c>
      <c r="O606" s="440" t="s">
        <v>154</v>
      </c>
      <c r="P606" s="441">
        <v>1</v>
      </c>
      <c r="Q606" s="439" t="s">
        <v>200</v>
      </c>
      <c r="R606" s="442">
        <v>468000</v>
      </c>
      <c r="S606" s="453">
        <f t="shared" si="244"/>
        <v>20002196</v>
      </c>
      <c r="T606" s="454">
        <v>514000</v>
      </c>
      <c r="U606" s="445">
        <f t="shared" si="246"/>
        <v>405988.14159999997</v>
      </c>
      <c r="V606" s="449" t="s">
        <v>150</v>
      </c>
      <c r="W606" s="446" t="s">
        <v>78</v>
      </c>
      <c r="X606" s="449">
        <v>0.9</v>
      </c>
      <c r="Y606" s="449" t="s">
        <v>151</v>
      </c>
      <c r="Z606" s="449"/>
      <c r="AA606" s="449" t="s">
        <v>38</v>
      </c>
      <c r="AB606" s="447">
        <f t="shared" si="239"/>
        <v>19843.2</v>
      </c>
      <c r="AC606" s="449" t="s">
        <v>38</v>
      </c>
      <c r="AD606" s="448">
        <f t="shared" si="240"/>
        <v>421.2</v>
      </c>
      <c r="AE606" s="449" t="s">
        <v>38</v>
      </c>
      <c r="AF606" s="323" t="s">
        <v>38</v>
      </c>
    </row>
    <row r="607" spans="1:32" s="11" customFormat="1" ht="15" customHeight="1">
      <c r="A607" s="328" t="s">
        <v>18</v>
      </c>
      <c r="B607" s="469" t="s">
        <v>34</v>
      </c>
      <c r="C607" s="469" t="s">
        <v>147</v>
      </c>
      <c r="D607" s="31">
        <v>130040670029868</v>
      </c>
      <c r="E607" s="469" t="s">
        <v>0</v>
      </c>
      <c r="F607" s="469" t="s">
        <v>128</v>
      </c>
      <c r="G607" s="470" t="s">
        <v>76</v>
      </c>
      <c r="H607" s="471">
        <v>2025</v>
      </c>
      <c r="I607" s="328">
        <v>2</v>
      </c>
      <c r="J607" s="472">
        <v>45719</v>
      </c>
      <c r="K607" s="473" t="s">
        <v>38</v>
      </c>
      <c r="L607" s="474">
        <v>0.1802</v>
      </c>
      <c r="M607" s="474">
        <v>0.21870000000000001</v>
      </c>
      <c r="N607" s="474">
        <v>3.3099999999999997E-2</v>
      </c>
      <c r="O607" s="396" t="s">
        <v>154</v>
      </c>
      <c r="P607" s="475">
        <v>1</v>
      </c>
      <c r="Q607" s="474" t="s">
        <v>214</v>
      </c>
      <c r="R607" s="421">
        <v>5633920</v>
      </c>
      <c r="S607" s="476">
        <f>R607+S578</f>
        <v>105511206</v>
      </c>
      <c r="T607" s="477">
        <v>8913207</v>
      </c>
      <c r="U607" s="478">
        <f t="shared" si="246"/>
        <v>5420786.0814000005</v>
      </c>
      <c r="V607" s="469" t="s">
        <v>167</v>
      </c>
      <c r="W607" s="6" t="s">
        <v>78</v>
      </c>
      <c r="X607" s="469">
        <v>3.8</v>
      </c>
      <c r="Y607" s="479" t="s">
        <v>168</v>
      </c>
      <c r="Z607" s="479"/>
      <c r="AA607" s="469" t="s">
        <v>38</v>
      </c>
      <c r="AB607" s="393">
        <f t="shared" si="239"/>
        <v>1232138.304</v>
      </c>
      <c r="AC607" s="469" t="s">
        <v>38</v>
      </c>
      <c r="AD607" s="15">
        <f t="shared" si="240"/>
        <v>21408.896000000001</v>
      </c>
      <c r="AE607" s="469" t="s">
        <v>38</v>
      </c>
      <c r="AF607" s="323" t="s">
        <v>38</v>
      </c>
    </row>
    <row r="608" spans="1:32" s="11" customFormat="1" ht="15" customHeight="1">
      <c r="A608" s="328" t="s">
        <v>18</v>
      </c>
      <c r="B608" s="469" t="s">
        <v>34</v>
      </c>
      <c r="C608" s="480" t="s">
        <v>215</v>
      </c>
      <c r="D608" s="31">
        <v>130040670020898</v>
      </c>
      <c r="E608" s="469" t="s">
        <v>0</v>
      </c>
      <c r="F608" s="469" t="s">
        <v>128</v>
      </c>
      <c r="G608" s="470" t="s">
        <v>76</v>
      </c>
      <c r="H608" s="471">
        <v>2025</v>
      </c>
      <c r="I608" s="328">
        <v>2</v>
      </c>
      <c r="J608" s="472">
        <v>45719</v>
      </c>
      <c r="K608" s="473" t="s">
        <v>38</v>
      </c>
      <c r="L608" s="474">
        <v>5.0299999999999997E-2</v>
      </c>
      <c r="M608" s="474">
        <v>7.4499999999999997E-2</v>
      </c>
      <c r="N608" s="474">
        <v>2.4199999999999999E-2</v>
      </c>
      <c r="O608" s="396" t="s">
        <v>154</v>
      </c>
      <c r="P608" s="475">
        <v>1</v>
      </c>
      <c r="Q608" s="474" t="s">
        <v>216</v>
      </c>
      <c r="R608" s="421">
        <v>8160000</v>
      </c>
      <c r="S608" s="476">
        <f>R608+S579</f>
        <v>115408798</v>
      </c>
      <c r="T608" s="477">
        <v>5799197</v>
      </c>
      <c r="U608" s="478">
        <f t="shared" si="246"/>
        <v>3006304.0884000002</v>
      </c>
      <c r="V608" s="469" t="s">
        <v>150</v>
      </c>
      <c r="W608" s="6" t="s">
        <v>78</v>
      </c>
      <c r="X608" s="469">
        <v>0.24</v>
      </c>
      <c r="Y608" s="469" t="s">
        <v>151</v>
      </c>
      <c r="Z608" s="469"/>
      <c r="AA608" s="469" t="s">
        <v>38</v>
      </c>
      <c r="AB608" s="393">
        <f t="shared" si="239"/>
        <v>607920</v>
      </c>
      <c r="AC608" s="469" t="s">
        <v>38</v>
      </c>
      <c r="AD608" s="15">
        <f t="shared" si="240"/>
        <v>1958.4</v>
      </c>
      <c r="AE608" s="469" t="s">
        <v>38</v>
      </c>
      <c r="AF608" s="323" t="s">
        <v>38</v>
      </c>
    </row>
    <row r="609" spans="1:32" s="11" customFormat="1" ht="15" customHeight="1">
      <c r="A609" s="328" t="s">
        <v>18</v>
      </c>
      <c r="B609" s="469" t="s">
        <v>34</v>
      </c>
      <c r="C609" s="480" t="s">
        <v>162</v>
      </c>
      <c r="D609" s="31">
        <v>130040670020899</v>
      </c>
      <c r="E609" s="469" t="s">
        <v>0</v>
      </c>
      <c r="F609" s="469" t="s">
        <v>128</v>
      </c>
      <c r="G609" s="470" t="s">
        <v>76</v>
      </c>
      <c r="H609" s="471">
        <v>2025</v>
      </c>
      <c r="I609" s="328">
        <v>2</v>
      </c>
      <c r="J609" s="472">
        <v>45719</v>
      </c>
      <c r="K609" s="473" t="s">
        <v>38</v>
      </c>
      <c r="L609" s="474">
        <v>6.2700000000000006E-2</v>
      </c>
      <c r="M609" s="474">
        <v>8.7300000000000003E-2</v>
      </c>
      <c r="N609" s="474">
        <v>2.46E-2</v>
      </c>
      <c r="O609" s="396" t="s">
        <v>154</v>
      </c>
      <c r="P609" s="475">
        <v>1</v>
      </c>
      <c r="Q609" s="474" t="s">
        <v>217</v>
      </c>
      <c r="R609" s="421">
        <v>7950000</v>
      </c>
      <c r="S609" s="476">
        <f>R609+S580</f>
        <v>116148647</v>
      </c>
      <c r="T609" s="477">
        <v>5893484</v>
      </c>
      <c r="U609" s="478">
        <f>T609-N609*S609</f>
        <v>3036227.2837999999</v>
      </c>
      <c r="V609" s="469" t="s">
        <v>150</v>
      </c>
      <c r="W609" s="6" t="s">
        <v>78</v>
      </c>
      <c r="X609" s="469">
        <v>0.53</v>
      </c>
      <c r="Y609" s="469" t="s">
        <v>151</v>
      </c>
      <c r="Z609" s="469"/>
      <c r="AA609" s="469" t="s">
        <v>38</v>
      </c>
      <c r="AB609" s="393">
        <f t="shared" si="239"/>
        <v>694035</v>
      </c>
      <c r="AC609" s="469" t="s">
        <v>38</v>
      </c>
      <c r="AD609" s="15">
        <f t="shared" si="240"/>
        <v>4213.5</v>
      </c>
      <c r="AE609" s="469" t="s">
        <v>38</v>
      </c>
      <c r="AF609" s="323" t="s">
        <v>38</v>
      </c>
    </row>
    <row r="610" spans="1:32" ht="15" customHeight="1">
      <c r="A610" s="436" t="s">
        <v>106</v>
      </c>
      <c r="B610" s="449" t="s">
        <v>36</v>
      </c>
      <c r="C610" s="450" t="s">
        <v>147</v>
      </c>
      <c r="D610" s="434">
        <v>130040670018928</v>
      </c>
      <c r="E610" s="449" t="s">
        <v>0</v>
      </c>
      <c r="F610" s="449" t="s">
        <v>113</v>
      </c>
      <c r="G610" s="451" t="s">
        <v>76</v>
      </c>
      <c r="H610" s="435">
        <v>2025</v>
      </c>
      <c r="I610" s="436">
        <v>3</v>
      </c>
      <c r="J610" s="437">
        <v>45748</v>
      </c>
      <c r="K610" s="452" t="s">
        <v>38</v>
      </c>
      <c r="L610" s="439">
        <v>0.31</v>
      </c>
      <c r="M610" s="439">
        <v>0.34499999999999997</v>
      </c>
      <c r="N610" s="439">
        <v>3.5000000000000003E-2</v>
      </c>
      <c r="O610" s="440" t="s">
        <v>154</v>
      </c>
      <c r="P610" s="441">
        <v>1</v>
      </c>
      <c r="Q610" s="439" t="s">
        <v>193</v>
      </c>
      <c r="R610" s="442">
        <v>947441</v>
      </c>
      <c r="S610" s="453">
        <f t="shared" ref="S610:S635" si="247">R610+S576</f>
        <v>65652130</v>
      </c>
      <c r="T610" s="454">
        <v>4200000</v>
      </c>
      <c r="U610" s="445">
        <f t="shared" ref="U610:U628" si="248">T610-N610*S610</f>
        <v>1902175.4499999997</v>
      </c>
      <c r="V610" s="449" t="s">
        <v>150</v>
      </c>
      <c r="W610" s="446" t="s">
        <v>78</v>
      </c>
      <c r="X610" s="449">
        <v>6.2</v>
      </c>
      <c r="Y610" s="449" t="s">
        <v>151</v>
      </c>
      <c r="Z610" s="449"/>
      <c r="AA610" s="449" t="s">
        <v>38</v>
      </c>
      <c r="AB610" s="447">
        <f t="shared" ref="AB610:AB638" si="249">M610*R610</f>
        <v>326867.14499999996</v>
      </c>
      <c r="AC610" s="449" t="s">
        <v>38</v>
      </c>
      <c r="AD610" s="448">
        <f t="shared" ref="AD610:AD638" si="250">R610*X610/1000</f>
        <v>5874.1342000000004</v>
      </c>
      <c r="AE610" s="449" t="s">
        <v>38</v>
      </c>
      <c r="AF610" s="323" t="s">
        <v>38</v>
      </c>
    </row>
    <row r="611" spans="1:32" ht="15" customHeight="1">
      <c r="A611" s="436" t="s">
        <v>106</v>
      </c>
      <c r="B611" s="449" t="s">
        <v>36</v>
      </c>
      <c r="C611" s="450" t="s">
        <v>158</v>
      </c>
      <c r="D611" s="434">
        <v>130040670018919</v>
      </c>
      <c r="E611" s="449" t="s">
        <v>0</v>
      </c>
      <c r="F611" s="449" t="s">
        <v>128</v>
      </c>
      <c r="G611" s="451" t="s">
        <v>76</v>
      </c>
      <c r="H611" s="435">
        <v>2025</v>
      </c>
      <c r="I611" s="436">
        <v>3</v>
      </c>
      <c r="J611" s="437">
        <v>45748</v>
      </c>
      <c r="K611" s="452" t="s">
        <v>38</v>
      </c>
      <c r="L611" s="439">
        <v>0.128</v>
      </c>
      <c r="M611" s="439">
        <v>0.1457</v>
      </c>
      <c r="N611" s="439">
        <v>1.77E-2</v>
      </c>
      <c r="O611" s="440" t="s">
        <v>154</v>
      </c>
      <c r="P611" s="441">
        <v>1</v>
      </c>
      <c r="Q611" s="439" t="s">
        <v>194</v>
      </c>
      <c r="R611" s="442">
        <v>338441</v>
      </c>
      <c r="S611" s="453">
        <f t="shared" si="247"/>
        <v>36142745</v>
      </c>
      <c r="T611" s="454">
        <v>1700000</v>
      </c>
      <c r="U611" s="445">
        <f t="shared" si="248"/>
        <v>1060273.4135</v>
      </c>
      <c r="V611" s="449" t="s">
        <v>150</v>
      </c>
      <c r="W611" s="446" t="s">
        <v>78</v>
      </c>
      <c r="X611" s="449">
        <v>3.55</v>
      </c>
      <c r="Y611" s="449" t="s">
        <v>151</v>
      </c>
      <c r="Z611" s="449"/>
      <c r="AA611" s="449" t="s">
        <v>38</v>
      </c>
      <c r="AB611" s="447">
        <f t="shared" si="249"/>
        <v>49310.8537</v>
      </c>
      <c r="AC611" s="449" t="s">
        <v>38</v>
      </c>
      <c r="AD611" s="448">
        <f t="shared" si="250"/>
        <v>1201.4655500000001</v>
      </c>
      <c r="AE611" s="449" t="s">
        <v>38</v>
      </c>
      <c r="AF611" s="323" t="s">
        <v>38</v>
      </c>
    </row>
    <row r="612" spans="1:32" ht="15" customHeight="1">
      <c r="A612" s="436" t="s">
        <v>106</v>
      </c>
      <c r="B612" s="449" t="s">
        <v>36</v>
      </c>
      <c r="C612" s="450" t="s">
        <v>195</v>
      </c>
      <c r="D612" s="434">
        <v>130040670027765</v>
      </c>
      <c r="E612" s="449" t="s">
        <v>0</v>
      </c>
      <c r="F612" s="449" t="s">
        <v>124</v>
      </c>
      <c r="G612" s="451" t="s">
        <v>76</v>
      </c>
      <c r="H612" s="435">
        <v>2025</v>
      </c>
      <c r="I612" s="436">
        <v>3</v>
      </c>
      <c r="J612" s="437">
        <v>45748</v>
      </c>
      <c r="K612" s="452" t="s">
        <v>38</v>
      </c>
      <c r="L612" s="439">
        <v>3.2000000000000001E-2</v>
      </c>
      <c r="M612" s="439">
        <v>3.9899999999999998E-2</v>
      </c>
      <c r="N612" s="439">
        <v>7.9000000000000008E-3</v>
      </c>
      <c r="O612" s="440" t="s">
        <v>154</v>
      </c>
      <c r="P612" s="441">
        <v>1</v>
      </c>
      <c r="Q612" s="439" t="s">
        <v>196</v>
      </c>
      <c r="R612" s="442">
        <v>5917410</v>
      </c>
      <c r="S612" s="453">
        <f t="shared" si="247"/>
        <v>105794696</v>
      </c>
      <c r="T612" s="454">
        <v>1520000</v>
      </c>
      <c r="U612" s="445">
        <f t="shared" si="248"/>
        <v>684221.90159999987</v>
      </c>
      <c r="V612" s="449" t="s">
        <v>150</v>
      </c>
      <c r="W612" s="446" t="s">
        <v>78</v>
      </c>
      <c r="X612" s="449">
        <v>0.56999999999999995</v>
      </c>
      <c r="Y612" s="449" t="s">
        <v>151</v>
      </c>
      <c r="Z612" s="449"/>
      <c r="AA612" s="449" t="s">
        <v>38</v>
      </c>
      <c r="AB612" s="447">
        <f t="shared" si="249"/>
        <v>236104.65899999999</v>
      </c>
      <c r="AC612" s="449" t="s">
        <v>38</v>
      </c>
      <c r="AD612" s="448">
        <f t="shared" si="250"/>
        <v>3372.9236999999998</v>
      </c>
      <c r="AE612" s="449" t="s">
        <v>38</v>
      </c>
      <c r="AF612" s="323" t="s">
        <v>38</v>
      </c>
    </row>
    <row r="613" spans="1:32" ht="15" customHeight="1">
      <c r="A613" s="436" t="s">
        <v>106</v>
      </c>
      <c r="B613" s="449" t="s">
        <v>36</v>
      </c>
      <c r="C613" s="450" t="s">
        <v>162</v>
      </c>
      <c r="D613" s="434">
        <v>130040670018929</v>
      </c>
      <c r="E613" s="449" t="s">
        <v>0</v>
      </c>
      <c r="F613" s="449" t="s">
        <v>113</v>
      </c>
      <c r="G613" s="451" t="s">
        <v>76</v>
      </c>
      <c r="H613" s="435">
        <v>2025</v>
      </c>
      <c r="I613" s="436">
        <v>3</v>
      </c>
      <c r="J613" s="437">
        <v>45748</v>
      </c>
      <c r="K613" s="452" t="s">
        <v>38</v>
      </c>
      <c r="L613" s="439">
        <v>5.3999999999999999E-2</v>
      </c>
      <c r="M613" s="439">
        <v>6.3399999999999998E-2</v>
      </c>
      <c r="N613" s="439">
        <v>9.4000000000000004E-3</v>
      </c>
      <c r="O613" s="440" t="s">
        <v>154</v>
      </c>
      <c r="P613" s="441">
        <v>1</v>
      </c>
      <c r="Q613" s="439" t="s">
        <v>197</v>
      </c>
      <c r="R613" s="442">
        <v>1036500</v>
      </c>
      <c r="S613" s="453">
        <f t="shared" si="247"/>
        <v>108285298</v>
      </c>
      <c r="T613" s="454">
        <v>902000</v>
      </c>
      <c r="U613" s="445">
        <f t="shared" si="248"/>
        <v>-115881.80119999999</v>
      </c>
      <c r="V613" s="449" t="s">
        <v>150</v>
      </c>
      <c r="W613" s="446" t="s">
        <v>78</v>
      </c>
      <c r="X613" s="449">
        <v>0.65</v>
      </c>
      <c r="Y613" s="449" t="s">
        <v>151</v>
      </c>
      <c r="Z613" s="449"/>
      <c r="AA613" s="449" t="s">
        <v>38</v>
      </c>
      <c r="AB613" s="447">
        <f t="shared" si="249"/>
        <v>65714.099999999991</v>
      </c>
      <c r="AC613" s="449" t="s">
        <v>38</v>
      </c>
      <c r="AD613" s="448">
        <f t="shared" si="250"/>
        <v>673.72500000000002</v>
      </c>
      <c r="AE613" s="449" t="s">
        <v>38</v>
      </c>
      <c r="AF613" s="323" t="s">
        <v>38</v>
      </c>
    </row>
    <row r="614" spans="1:32" ht="15" customHeight="1">
      <c r="A614" s="436" t="s">
        <v>106</v>
      </c>
      <c r="B614" s="449" t="s">
        <v>36</v>
      </c>
      <c r="C614" s="450" t="s">
        <v>160</v>
      </c>
      <c r="D614" s="434">
        <v>130040670018930</v>
      </c>
      <c r="E614" s="449" t="s">
        <v>0</v>
      </c>
      <c r="F614" s="449" t="s">
        <v>113</v>
      </c>
      <c r="G614" s="451" t="s">
        <v>76</v>
      </c>
      <c r="H614" s="435">
        <v>2025</v>
      </c>
      <c r="I614" s="436">
        <v>3</v>
      </c>
      <c r="J614" s="437">
        <v>45748</v>
      </c>
      <c r="K614" s="452" t="s">
        <v>38</v>
      </c>
      <c r="L614" s="439">
        <v>0.08</v>
      </c>
      <c r="M614" s="439">
        <v>9.0700000000000003E-2</v>
      </c>
      <c r="N614" s="439">
        <v>1.0699999999999999E-2</v>
      </c>
      <c r="O614" s="440" t="s">
        <v>154</v>
      </c>
      <c r="P614" s="441">
        <v>1</v>
      </c>
      <c r="Q614" s="439" t="s">
        <v>198</v>
      </c>
      <c r="R614" s="442">
        <v>1091229</v>
      </c>
      <c r="S614" s="453">
        <f t="shared" si="247"/>
        <v>109289876</v>
      </c>
      <c r="T614" s="454">
        <v>1028000</v>
      </c>
      <c r="U614" s="445">
        <f t="shared" si="248"/>
        <v>-141401.67319999984</v>
      </c>
      <c r="V614" s="449" t="s">
        <v>150</v>
      </c>
      <c r="W614" s="446" t="s">
        <v>78</v>
      </c>
      <c r="X614" s="449">
        <v>1.2</v>
      </c>
      <c r="Y614" s="449" t="s">
        <v>151</v>
      </c>
      <c r="Z614" s="449"/>
      <c r="AA614" s="449" t="s">
        <v>38</v>
      </c>
      <c r="AB614" s="447">
        <f t="shared" si="249"/>
        <v>98974.470300000001</v>
      </c>
      <c r="AC614" s="449" t="s">
        <v>38</v>
      </c>
      <c r="AD614" s="448">
        <f t="shared" si="250"/>
        <v>1309.4748</v>
      </c>
      <c r="AE614" s="449" t="s">
        <v>38</v>
      </c>
      <c r="AF614" s="323" t="s">
        <v>38</v>
      </c>
    </row>
    <row r="615" spans="1:32" ht="15" customHeight="1">
      <c r="A615" s="436" t="s">
        <v>106</v>
      </c>
      <c r="B615" s="449" t="s">
        <v>36</v>
      </c>
      <c r="C615" s="450" t="s">
        <v>199</v>
      </c>
      <c r="D615" s="434">
        <v>130040670018925</v>
      </c>
      <c r="E615" s="449" t="s">
        <v>0</v>
      </c>
      <c r="F615" s="449" t="s">
        <v>113</v>
      </c>
      <c r="G615" s="451" t="s">
        <v>76</v>
      </c>
      <c r="H615" s="435">
        <v>2025</v>
      </c>
      <c r="I615" s="436">
        <v>3</v>
      </c>
      <c r="J615" s="437">
        <v>45748</v>
      </c>
      <c r="K615" s="452" t="s">
        <v>38</v>
      </c>
      <c r="L615" s="439">
        <v>3.6999999999999998E-2</v>
      </c>
      <c r="M615" s="439">
        <v>4.24E-2</v>
      </c>
      <c r="N615" s="439">
        <v>5.4000000000000003E-3</v>
      </c>
      <c r="O615" s="440" t="s">
        <v>154</v>
      </c>
      <c r="P615" s="441">
        <v>1</v>
      </c>
      <c r="Q615" s="439" t="s">
        <v>200</v>
      </c>
      <c r="R615" s="442">
        <v>1008000</v>
      </c>
      <c r="S615" s="453">
        <f t="shared" si="247"/>
        <v>12309038</v>
      </c>
      <c r="T615" s="454">
        <v>514000</v>
      </c>
      <c r="U615" s="445">
        <f t="shared" si="248"/>
        <v>447531.1948</v>
      </c>
      <c r="V615" s="449" t="s">
        <v>150</v>
      </c>
      <c r="W615" s="446" t="s">
        <v>78</v>
      </c>
      <c r="X615" s="449">
        <v>0.9</v>
      </c>
      <c r="Y615" s="449" t="s">
        <v>151</v>
      </c>
      <c r="Z615" s="449"/>
      <c r="AA615" s="449" t="s">
        <v>38</v>
      </c>
      <c r="AB615" s="447">
        <f t="shared" si="249"/>
        <v>42739.199999999997</v>
      </c>
      <c r="AC615" s="449" t="s">
        <v>38</v>
      </c>
      <c r="AD615" s="448">
        <f t="shared" si="250"/>
        <v>907.2</v>
      </c>
      <c r="AE615" s="449" t="s">
        <v>38</v>
      </c>
      <c r="AF615" s="323" t="s">
        <v>38</v>
      </c>
    </row>
    <row r="616" spans="1:32" ht="15" customHeight="1">
      <c r="A616" s="436" t="s">
        <v>113</v>
      </c>
      <c r="B616" s="449" t="s">
        <v>36</v>
      </c>
      <c r="C616" s="450" t="s">
        <v>182</v>
      </c>
      <c r="D616" s="434">
        <v>130040670039455</v>
      </c>
      <c r="E616" s="449" t="s">
        <v>0</v>
      </c>
      <c r="F616" s="449" t="s">
        <v>183</v>
      </c>
      <c r="G616" s="451" t="s">
        <v>76</v>
      </c>
      <c r="H616" s="435">
        <v>2025</v>
      </c>
      <c r="I616" s="436">
        <v>3</v>
      </c>
      <c r="J616" s="437">
        <v>45750</v>
      </c>
      <c r="K616" s="452" t="s">
        <v>38</v>
      </c>
      <c r="L616" s="439">
        <v>6.5299999999999997E-2</v>
      </c>
      <c r="M616" s="439">
        <v>7.5899999999999995E-2</v>
      </c>
      <c r="N616" s="439">
        <v>1.06E-2</v>
      </c>
      <c r="O616" s="440" t="s">
        <v>154</v>
      </c>
      <c r="P616" s="441">
        <v>1</v>
      </c>
      <c r="Q616" s="439" t="s">
        <v>184</v>
      </c>
      <c r="R616" s="442">
        <v>1025498</v>
      </c>
      <c r="S616" s="453">
        <f t="shared" si="247"/>
        <v>14351412</v>
      </c>
      <c r="T616" s="454">
        <v>1020000</v>
      </c>
      <c r="U616" s="445">
        <f t="shared" si="248"/>
        <v>867875.03279999993</v>
      </c>
      <c r="V616" s="449" t="s">
        <v>156</v>
      </c>
      <c r="W616" s="446" t="s">
        <v>78</v>
      </c>
      <c r="X616" s="449">
        <v>1.33</v>
      </c>
      <c r="Y616" s="449" t="s">
        <v>157</v>
      </c>
      <c r="Z616" s="449"/>
      <c r="AA616" s="449" t="s">
        <v>38</v>
      </c>
      <c r="AB616" s="447">
        <f t="shared" si="249"/>
        <v>77835.29819999999</v>
      </c>
      <c r="AC616" s="449" t="s">
        <v>38</v>
      </c>
      <c r="AD616" s="448">
        <f t="shared" si="250"/>
        <v>1363.9123400000001</v>
      </c>
      <c r="AE616" s="449" t="s">
        <v>38</v>
      </c>
      <c r="AF616" s="309" t="s">
        <v>38</v>
      </c>
    </row>
    <row r="617" spans="1:32" ht="15" customHeight="1">
      <c r="A617" s="436" t="s">
        <v>113</v>
      </c>
      <c r="B617" s="449" t="s">
        <v>36</v>
      </c>
      <c r="C617" s="450" t="s">
        <v>185</v>
      </c>
      <c r="D617" s="434">
        <v>130040670023906</v>
      </c>
      <c r="E617" s="449" t="s">
        <v>0</v>
      </c>
      <c r="F617" s="449" t="s">
        <v>128</v>
      </c>
      <c r="G617" s="451" t="s">
        <v>76</v>
      </c>
      <c r="H617" s="435">
        <v>2025</v>
      </c>
      <c r="I617" s="436">
        <v>3</v>
      </c>
      <c r="J617" s="437">
        <v>45750</v>
      </c>
      <c r="K617" s="452" t="s">
        <v>38</v>
      </c>
      <c r="L617" s="439">
        <v>3.9300000000000002E-2</v>
      </c>
      <c r="M617" s="439">
        <v>4.6699999999999998E-2</v>
      </c>
      <c r="N617" s="439">
        <v>7.4000000000000003E-3</v>
      </c>
      <c r="O617" s="440" t="s">
        <v>154</v>
      </c>
      <c r="P617" s="441">
        <v>1</v>
      </c>
      <c r="Q617" s="439" t="s">
        <v>186</v>
      </c>
      <c r="R617" s="442">
        <v>704889</v>
      </c>
      <c r="S617" s="453">
        <f t="shared" si="247"/>
        <v>13744346</v>
      </c>
      <c r="T617" s="454">
        <v>355000</v>
      </c>
      <c r="U617" s="445">
        <f t="shared" si="248"/>
        <v>253291.83960000001</v>
      </c>
      <c r="V617" s="449" t="s">
        <v>171</v>
      </c>
      <c r="W617" s="446" t="s">
        <v>78</v>
      </c>
      <c r="X617" s="449">
        <v>0.36</v>
      </c>
      <c r="Y617" s="449" t="s">
        <v>172</v>
      </c>
      <c r="Z617" s="449"/>
      <c r="AA617" s="449" t="s">
        <v>38</v>
      </c>
      <c r="AB617" s="447">
        <f t="shared" si="249"/>
        <v>32918.316299999999</v>
      </c>
      <c r="AC617" s="449" t="s">
        <v>38</v>
      </c>
      <c r="AD617" s="448">
        <f t="shared" si="250"/>
        <v>253.76003999999998</v>
      </c>
      <c r="AE617" s="449" t="s">
        <v>38</v>
      </c>
      <c r="AF617" s="309" t="s">
        <v>38</v>
      </c>
    </row>
    <row r="618" spans="1:32" ht="15" customHeight="1">
      <c r="A618" s="436" t="s">
        <v>113</v>
      </c>
      <c r="B618" s="449" t="s">
        <v>36</v>
      </c>
      <c r="C618" s="450" t="s">
        <v>152</v>
      </c>
      <c r="D618" s="434">
        <v>130040670023899</v>
      </c>
      <c r="E618" s="449" t="s">
        <v>0</v>
      </c>
      <c r="F618" s="449" t="s">
        <v>128</v>
      </c>
      <c r="G618" s="451" t="s">
        <v>76</v>
      </c>
      <c r="H618" s="435">
        <v>2025</v>
      </c>
      <c r="I618" s="436">
        <v>3</v>
      </c>
      <c r="J618" s="437">
        <v>45750</v>
      </c>
      <c r="K618" s="452" t="s">
        <v>38</v>
      </c>
      <c r="L618" s="439">
        <v>0.12970000000000001</v>
      </c>
      <c r="M618" s="439">
        <v>0.15260000000000001</v>
      </c>
      <c r="N618" s="439">
        <v>2.29E-2</v>
      </c>
      <c r="O618" s="440" t="s">
        <v>154</v>
      </c>
      <c r="P618" s="441">
        <v>1</v>
      </c>
      <c r="Q618" s="439" t="s">
        <v>155</v>
      </c>
      <c r="R618" s="442">
        <v>626806</v>
      </c>
      <c r="S618" s="453">
        <f t="shared" si="247"/>
        <v>11031898</v>
      </c>
      <c r="T618" s="454">
        <v>1100000</v>
      </c>
      <c r="U618" s="445">
        <f t="shared" si="248"/>
        <v>847369.53579999995</v>
      </c>
      <c r="V618" s="449" t="s">
        <v>156</v>
      </c>
      <c r="W618" s="446" t="s">
        <v>78</v>
      </c>
      <c r="X618" s="449">
        <v>2.7</v>
      </c>
      <c r="Y618" s="449" t="s">
        <v>157</v>
      </c>
      <c r="Z618" s="449"/>
      <c r="AA618" s="449" t="s">
        <v>38</v>
      </c>
      <c r="AB618" s="447">
        <f t="shared" si="249"/>
        <v>95650.595600000015</v>
      </c>
      <c r="AC618" s="449" t="s">
        <v>38</v>
      </c>
      <c r="AD618" s="448">
        <f t="shared" si="250"/>
        <v>1692.3762000000002</v>
      </c>
      <c r="AE618" s="449" t="s">
        <v>38</v>
      </c>
      <c r="AF618" s="309" t="s">
        <v>38</v>
      </c>
    </row>
    <row r="619" spans="1:32" ht="15" customHeight="1">
      <c r="A619" s="436" t="s">
        <v>113</v>
      </c>
      <c r="B619" s="449" t="s">
        <v>36</v>
      </c>
      <c r="C619" s="450" t="s">
        <v>187</v>
      </c>
      <c r="D619" s="434">
        <v>130040670039442</v>
      </c>
      <c r="E619" s="449" t="s">
        <v>0</v>
      </c>
      <c r="F619" s="449" t="s">
        <v>183</v>
      </c>
      <c r="G619" s="451" t="s">
        <v>76</v>
      </c>
      <c r="H619" s="435">
        <v>2025</v>
      </c>
      <c r="I619" s="436">
        <v>3</v>
      </c>
      <c r="J619" s="437">
        <v>45750</v>
      </c>
      <c r="K619" s="452" t="s">
        <v>38</v>
      </c>
      <c r="L619" s="439">
        <v>6.6699999999999995E-2</v>
      </c>
      <c r="M619" s="439">
        <v>7.7299999999999994E-2</v>
      </c>
      <c r="N619" s="439">
        <v>1.06E-2</v>
      </c>
      <c r="O619" s="440" t="s">
        <v>154</v>
      </c>
      <c r="P619" s="441">
        <v>1</v>
      </c>
      <c r="Q619" s="439" t="s">
        <v>188</v>
      </c>
      <c r="R619" s="442">
        <v>1071000</v>
      </c>
      <c r="S619" s="453">
        <f t="shared" si="247"/>
        <v>11595876</v>
      </c>
      <c r="T619" s="454">
        <v>1020000</v>
      </c>
      <c r="U619" s="445">
        <f t="shared" si="248"/>
        <v>897083.71439999994</v>
      </c>
      <c r="V619" s="449" t="s">
        <v>156</v>
      </c>
      <c r="W619" s="446" t="s">
        <v>78</v>
      </c>
      <c r="X619" s="449">
        <v>1.39</v>
      </c>
      <c r="Y619" s="449" t="s">
        <v>157</v>
      </c>
      <c r="Z619" s="449"/>
      <c r="AA619" s="449" t="s">
        <v>38</v>
      </c>
      <c r="AB619" s="447">
        <f t="shared" si="249"/>
        <v>82788.299999999988</v>
      </c>
      <c r="AC619" s="449" t="s">
        <v>38</v>
      </c>
      <c r="AD619" s="448">
        <f t="shared" si="250"/>
        <v>1488.69</v>
      </c>
      <c r="AE619" s="449" t="s">
        <v>38</v>
      </c>
      <c r="AF619" s="309" t="s">
        <v>38</v>
      </c>
    </row>
    <row r="620" spans="1:32" ht="15" customHeight="1">
      <c r="A620" s="436" t="s">
        <v>113</v>
      </c>
      <c r="B620" s="449" t="s">
        <v>36</v>
      </c>
      <c r="C620" s="450" t="s">
        <v>158</v>
      </c>
      <c r="D620" s="434">
        <v>130040670023900</v>
      </c>
      <c r="E620" s="449" t="s">
        <v>0</v>
      </c>
      <c r="F620" s="449" t="s">
        <v>128</v>
      </c>
      <c r="G620" s="451" t="s">
        <v>76</v>
      </c>
      <c r="H620" s="435">
        <v>2025</v>
      </c>
      <c r="I620" s="436">
        <v>3</v>
      </c>
      <c r="J620" s="437">
        <v>45750</v>
      </c>
      <c r="K620" s="452" t="s">
        <v>38</v>
      </c>
      <c r="L620" s="439">
        <v>0.1128</v>
      </c>
      <c r="M620" s="439">
        <v>0.1336</v>
      </c>
      <c r="N620" s="439">
        <v>2.0799999999999999E-2</v>
      </c>
      <c r="O620" s="440" t="s">
        <v>154</v>
      </c>
      <c r="P620" s="441">
        <v>1</v>
      </c>
      <c r="Q620" s="439" t="s">
        <v>189</v>
      </c>
      <c r="R620" s="442">
        <v>682530</v>
      </c>
      <c r="S620" s="453">
        <f t="shared" si="247"/>
        <v>11762484</v>
      </c>
      <c r="T620" s="454">
        <v>999000</v>
      </c>
      <c r="U620" s="445">
        <f t="shared" si="248"/>
        <v>754340.33279999997</v>
      </c>
      <c r="V620" s="449" t="s">
        <v>156</v>
      </c>
      <c r="W620" s="446" t="s">
        <v>78</v>
      </c>
      <c r="X620" s="449">
        <v>1.5</v>
      </c>
      <c r="Y620" s="449" t="s">
        <v>157</v>
      </c>
      <c r="Z620" s="449"/>
      <c r="AA620" s="449" t="s">
        <v>38</v>
      </c>
      <c r="AB620" s="447">
        <f t="shared" si="249"/>
        <v>91186.008000000002</v>
      </c>
      <c r="AC620" s="449" t="s">
        <v>38</v>
      </c>
      <c r="AD620" s="448">
        <f t="shared" si="250"/>
        <v>1023.795</v>
      </c>
      <c r="AE620" s="449" t="s">
        <v>38</v>
      </c>
      <c r="AF620" s="309" t="s">
        <v>38</v>
      </c>
    </row>
    <row r="621" spans="1:32" ht="15" customHeight="1">
      <c r="A621" s="436" t="s">
        <v>113</v>
      </c>
      <c r="B621" s="449" t="s">
        <v>36</v>
      </c>
      <c r="C621" s="450" t="s">
        <v>190</v>
      </c>
      <c r="D621" s="434">
        <v>130040670017669</v>
      </c>
      <c r="E621" s="449" t="s">
        <v>0</v>
      </c>
      <c r="F621" s="449" t="s">
        <v>191</v>
      </c>
      <c r="G621" s="451" t="s">
        <v>76</v>
      </c>
      <c r="H621" s="435">
        <v>2025</v>
      </c>
      <c r="I621" s="436">
        <v>3</v>
      </c>
      <c r="J621" s="437">
        <v>45750</v>
      </c>
      <c r="K621" s="452" t="s">
        <v>38</v>
      </c>
      <c r="L621" s="439">
        <v>6.1499999999999999E-2</v>
      </c>
      <c r="M621" s="439">
        <v>6.9400000000000003E-2</v>
      </c>
      <c r="N621" s="439">
        <v>7.9000000000000008E-3</v>
      </c>
      <c r="O621" s="440" t="s">
        <v>154</v>
      </c>
      <c r="P621" s="441">
        <v>1</v>
      </c>
      <c r="Q621" s="439" t="s">
        <v>192</v>
      </c>
      <c r="R621" s="442">
        <v>1159230</v>
      </c>
      <c r="S621" s="453">
        <f t="shared" si="247"/>
        <v>14291320</v>
      </c>
      <c r="T621" s="454">
        <v>760000</v>
      </c>
      <c r="U621" s="445">
        <f t="shared" si="248"/>
        <v>647098.57199999993</v>
      </c>
      <c r="V621" s="449" t="s">
        <v>156</v>
      </c>
      <c r="W621" s="446" t="s">
        <v>78</v>
      </c>
      <c r="X621" s="449">
        <v>1.1000000000000001</v>
      </c>
      <c r="Y621" s="449" t="s">
        <v>157</v>
      </c>
      <c r="Z621" s="449"/>
      <c r="AA621" s="449" t="s">
        <v>38</v>
      </c>
      <c r="AB621" s="447">
        <f t="shared" si="249"/>
        <v>80450.562000000005</v>
      </c>
      <c r="AC621" s="449" t="s">
        <v>38</v>
      </c>
      <c r="AD621" s="448">
        <f t="shared" si="250"/>
        <v>1275.153</v>
      </c>
      <c r="AE621" s="449" t="s">
        <v>38</v>
      </c>
      <c r="AF621" s="309" t="s">
        <v>38</v>
      </c>
    </row>
    <row r="622" spans="1:32" ht="15" customHeight="1">
      <c r="A622" s="436" t="s">
        <v>124</v>
      </c>
      <c r="B622" s="449" t="s">
        <v>36</v>
      </c>
      <c r="C622" s="450" t="s">
        <v>147</v>
      </c>
      <c r="D622" s="434">
        <v>130040670021245</v>
      </c>
      <c r="E622" s="449" t="s">
        <v>0</v>
      </c>
      <c r="F622" s="449" t="s">
        <v>127</v>
      </c>
      <c r="G622" s="451" t="s">
        <v>76</v>
      </c>
      <c r="H622" s="435">
        <v>2025</v>
      </c>
      <c r="I622" s="436">
        <v>3</v>
      </c>
      <c r="J622" s="437">
        <v>45750</v>
      </c>
      <c r="K622" s="452" t="s">
        <v>38</v>
      </c>
      <c r="L622" s="439">
        <v>0.28100000000000003</v>
      </c>
      <c r="M622" s="439">
        <v>0.30070000000000002</v>
      </c>
      <c r="N622" s="439">
        <v>1.9699999999999999E-2</v>
      </c>
      <c r="O622" s="440" t="s">
        <v>154</v>
      </c>
      <c r="P622" s="441">
        <v>1</v>
      </c>
      <c r="Q622" s="439" t="s">
        <v>177</v>
      </c>
      <c r="R622" s="442">
        <v>4239116</v>
      </c>
      <c r="S622" s="453">
        <f t="shared" si="247"/>
        <v>10121037</v>
      </c>
      <c r="T622" s="454">
        <v>3150000</v>
      </c>
      <c r="U622" s="445">
        <f t="shared" si="248"/>
        <v>2950615.5710999998</v>
      </c>
      <c r="V622" s="449" t="s">
        <v>150</v>
      </c>
      <c r="W622" s="446" t="s">
        <v>78</v>
      </c>
      <c r="X622" s="449">
        <v>4.5</v>
      </c>
      <c r="Y622" s="449" t="s">
        <v>151</v>
      </c>
      <c r="Z622" s="449"/>
      <c r="AA622" s="449" t="s">
        <v>38</v>
      </c>
      <c r="AB622" s="447">
        <f t="shared" si="249"/>
        <v>1274702.1812</v>
      </c>
      <c r="AC622" s="449" t="s">
        <v>38</v>
      </c>
      <c r="AD622" s="448">
        <f t="shared" si="250"/>
        <v>19076.022000000001</v>
      </c>
      <c r="AE622" s="449" t="s">
        <v>38</v>
      </c>
      <c r="AF622" s="309" t="s">
        <v>38</v>
      </c>
    </row>
    <row r="623" spans="1:32" ht="15" customHeight="1">
      <c r="A623" s="436" t="s">
        <v>124</v>
      </c>
      <c r="B623" s="449" t="s">
        <v>36</v>
      </c>
      <c r="C623" s="450" t="s">
        <v>162</v>
      </c>
      <c r="D623" s="434">
        <v>130040670021246</v>
      </c>
      <c r="E623" s="449" t="s">
        <v>0</v>
      </c>
      <c r="F623" s="449" t="s">
        <v>127</v>
      </c>
      <c r="G623" s="451" t="s">
        <v>76</v>
      </c>
      <c r="H623" s="435">
        <v>2025</v>
      </c>
      <c r="I623" s="436">
        <v>3</v>
      </c>
      <c r="J623" s="437">
        <v>45750</v>
      </c>
      <c r="K623" s="452" t="s">
        <v>38</v>
      </c>
      <c r="L623" s="439">
        <v>4.7E-2</v>
      </c>
      <c r="M623" s="439">
        <v>5.6399999999999999E-2</v>
      </c>
      <c r="N623" s="439">
        <v>9.4000000000000004E-3</v>
      </c>
      <c r="O623" s="440" t="s">
        <v>154</v>
      </c>
      <c r="P623" s="441">
        <v>1</v>
      </c>
      <c r="Q623" s="439" t="s">
        <v>178</v>
      </c>
      <c r="R623" s="442">
        <v>4428000</v>
      </c>
      <c r="S623" s="453">
        <f t="shared" si="247"/>
        <v>10777317</v>
      </c>
      <c r="T623" s="454">
        <v>1350000</v>
      </c>
      <c r="U623" s="445">
        <f t="shared" si="248"/>
        <v>1248693.2202000001</v>
      </c>
      <c r="V623" s="449" t="s">
        <v>150</v>
      </c>
      <c r="W623" s="446" t="s">
        <v>78</v>
      </c>
      <c r="X623" s="449">
        <v>0.5</v>
      </c>
      <c r="Y623" s="449" t="s">
        <v>151</v>
      </c>
      <c r="Z623" s="449"/>
      <c r="AA623" s="449" t="s">
        <v>38</v>
      </c>
      <c r="AB623" s="447">
        <f t="shared" si="249"/>
        <v>249739.19999999998</v>
      </c>
      <c r="AC623" s="449" t="s">
        <v>38</v>
      </c>
      <c r="AD623" s="448">
        <f t="shared" si="250"/>
        <v>2214</v>
      </c>
      <c r="AE623" s="449" t="s">
        <v>38</v>
      </c>
      <c r="AF623" s="309" t="s">
        <v>38</v>
      </c>
    </row>
    <row r="624" spans="1:32" ht="15" customHeight="1">
      <c r="A624" s="436" t="s">
        <v>124</v>
      </c>
      <c r="B624" s="449" t="s">
        <v>36</v>
      </c>
      <c r="C624" s="450" t="s">
        <v>160</v>
      </c>
      <c r="D624" s="434">
        <v>130040670026558</v>
      </c>
      <c r="E624" s="449" t="s">
        <v>0</v>
      </c>
      <c r="F624" s="449" t="s">
        <v>127</v>
      </c>
      <c r="G624" s="451" t="s">
        <v>76</v>
      </c>
      <c r="H624" s="435">
        <v>2025</v>
      </c>
      <c r="I624" s="436">
        <v>3</v>
      </c>
      <c r="J624" s="437">
        <v>45750</v>
      </c>
      <c r="K624" s="452" t="s">
        <v>38</v>
      </c>
      <c r="L624" s="439">
        <v>0.06</v>
      </c>
      <c r="M624" s="439">
        <v>7.0599999999999996E-2</v>
      </c>
      <c r="N624" s="439">
        <v>1.06E-2</v>
      </c>
      <c r="O624" s="440" t="s">
        <v>154</v>
      </c>
      <c r="P624" s="441">
        <v>1</v>
      </c>
      <c r="Q624" s="439" t="s">
        <v>179</v>
      </c>
      <c r="R624" s="442">
        <v>4428000</v>
      </c>
      <c r="S624" s="453">
        <f t="shared" si="247"/>
        <v>9876564</v>
      </c>
      <c r="T624" s="454">
        <v>1530000</v>
      </c>
      <c r="U624" s="445">
        <f t="shared" si="248"/>
        <v>1425308.4216</v>
      </c>
      <c r="V624" s="449" t="s">
        <v>150</v>
      </c>
      <c r="W624" s="446" t="s">
        <v>78</v>
      </c>
      <c r="X624" s="449">
        <v>0.9</v>
      </c>
      <c r="Y624" s="449" t="s">
        <v>151</v>
      </c>
      <c r="Z624" s="449"/>
      <c r="AA624" s="449" t="s">
        <v>38</v>
      </c>
      <c r="AB624" s="447">
        <f t="shared" si="249"/>
        <v>312616.8</v>
      </c>
      <c r="AC624" s="449" t="s">
        <v>38</v>
      </c>
      <c r="AD624" s="448">
        <f t="shared" si="250"/>
        <v>3985.2</v>
      </c>
      <c r="AE624" s="449" t="s">
        <v>38</v>
      </c>
      <c r="AF624" s="309" t="s">
        <v>38</v>
      </c>
    </row>
    <row r="625" spans="1:32" ht="15" customHeight="1">
      <c r="A625" s="436" t="s">
        <v>124</v>
      </c>
      <c r="B625" s="449" t="s">
        <v>36</v>
      </c>
      <c r="C625" s="450" t="s">
        <v>180</v>
      </c>
      <c r="D625" s="434">
        <v>130040670021244</v>
      </c>
      <c r="E625" s="449" t="s">
        <v>0</v>
      </c>
      <c r="F625" s="449" t="s">
        <v>128</v>
      </c>
      <c r="G625" s="451" t="s">
        <v>76</v>
      </c>
      <c r="H625" s="435">
        <v>2025</v>
      </c>
      <c r="I625" s="436">
        <v>3</v>
      </c>
      <c r="J625" s="437">
        <v>45750</v>
      </c>
      <c r="K625" s="452" t="s">
        <v>38</v>
      </c>
      <c r="L625" s="439">
        <v>0.12</v>
      </c>
      <c r="M625" s="439">
        <v>0.1331</v>
      </c>
      <c r="N625" s="439">
        <v>1.3100000000000001E-2</v>
      </c>
      <c r="O625" s="440" t="s">
        <v>154</v>
      </c>
      <c r="P625" s="441">
        <v>1</v>
      </c>
      <c r="Q625" s="439" t="s">
        <v>181</v>
      </c>
      <c r="R625" s="442">
        <v>3473512</v>
      </c>
      <c r="S625" s="453">
        <f t="shared" si="247"/>
        <v>45419988</v>
      </c>
      <c r="T625" s="454">
        <v>1260000</v>
      </c>
      <c r="U625" s="445">
        <f t="shared" si="248"/>
        <v>664998.15720000002</v>
      </c>
      <c r="V625" s="449" t="s">
        <v>156</v>
      </c>
      <c r="W625" s="446" t="s">
        <v>78</v>
      </c>
      <c r="X625" s="449">
        <v>3.42</v>
      </c>
      <c r="Y625" s="449" t="s">
        <v>157</v>
      </c>
      <c r="Z625" s="449"/>
      <c r="AA625" s="449" t="s">
        <v>38</v>
      </c>
      <c r="AB625" s="447">
        <f t="shared" si="249"/>
        <v>462324.4472</v>
      </c>
      <c r="AC625" s="449" t="s">
        <v>38</v>
      </c>
      <c r="AD625" s="448">
        <f t="shared" si="250"/>
        <v>11879.411039999999</v>
      </c>
      <c r="AE625" s="449" t="s">
        <v>38</v>
      </c>
      <c r="AF625" s="309" t="s">
        <v>38</v>
      </c>
    </row>
    <row r="626" spans="1:32" ht="15" customHeight="1">
      <c r="A626" s="436" t="s">
        <v>127</v>
      </c>
      <c r="B626" s="449" t="s">
        <v>36</v>
      </c>
      <c r="C626" s="450" t="s">
        <v>173</v>
      </c>
      <c r="D626" s="434">
        <v>130040670017658</v>
      </c>
      <c r="E626" s="449" t="s">
        <v>0</v>
      </c>
      <c r="F626" s="449" t="s">
        <v>128</v>
      </c>
      <c r="G626" s="451" t="s">
        <v>76</v>
      </c>
      <c r="H626" s="435">
        <v>2025</v>
      </c>
      <c r="I626" s="436">
        <v>3</v>
      </c>
      <c r="J626" s="437">
        <v>45750</v>
      </c>
      <c r="K626" s="452" t="s">
        <v>38</v>
      </c>
      <c r="L626" s="439">
        <v>4.3999999999999997E-2</v>
      </c>
      <c r="M626" s="439">
        <v>5.0799999999999998E-2</v>
      </c>
      <c r="N626" s="439">
        <v>6.7999999999999996E-3</v>
      </c>
      <c r="O626" s="440" t="s">
        <v>154</v>
      </c>
      <c r="P626" s="441">
        <v>1</v>
      </c>
      <c r="Q626" s="439" t="s">
        <v>174</v>
      </c>
      <c r="R626" s="455">
        <v>198000</v>
      </c>
      <c r="S626" s="453">
        <f t="shared" si="247"/>
        <v>41847818</v>
      </c>
      <c r="T626" s="454">
        <v>325000</v>
      </c>
      <c r="U626" s="445">
        <f t="shared" si="248"/>
        <v>40434.837600000028</v>
      </c>
      <c r="V626" s="449" t="s">
        <v>171</v>
      </c>
      <c r="W626" s="446" t="s">
        <v>78</v>
      </c>
      <c r="X626" s="449">
        <v>0.8</v>
      </c>
      <c r="Y626" s="449" t="s">
        <v>172</v>
      </c>
      <c r="Z626" s="449"/>
      <c r="AA626" s="449" t="s">
        <v>38</v>
      </c>
      <c r="AB626" s="447">
        <f t="shared" si="249"/>
        <v>10058.4</v>
      </c>
      <c r="AC626" s="449" t="s">
        <v>38</v>
      </c>
      <c r="AD626" s="448">
        <f t="shared" si="250"/>
        <v>158.4</v>
      </c>
      <c r="AE626" s="449" t="s">
        <v>38</v>
      </c>
      <c r="AF626" s="309" t="s">
        <v>38</v>
      </c>
    </row>
    <row r="627" spans="1:32" ht="15" customHeight="1">
      <c r="A627" s="436" t="s">
        <v>127</v>
      </c>
      <c r="B627" s="449" t="s">
        <v>36</v>
      </c>
      <c r="C627" s="450" t="s">
        <v>158</v>
      </c>
      <c r="D627" s="434">
        <v>130040670017656</v>
      </c>
      <c r="E627" s="449" t="s">
        <v>0</v>
      </c>
      <c r="F627" s="449" t="s">
        <v>128</v>
      </c>
      <c r="G627" s="451" t="s">
        <v>76</v>
      </c>
      <c r="H627" s="435">
        <v>2025</v>
      </c>
      <c r="I627" s="436">
        <v>3</v>
      </c>
      <c r="J627" s="437">
        <v>45750</v>
      </c>
      <c r="K627" s="452" t="s">
        <v>38</v>
      </c>
      <c r="L627" s="439">
        <v>9.6000000000000002E-2</v>
      </c>
      <c r="M627" s="439">
        <v>0.1069</v>
      </c>
      <c r="N627" s="439">
        <v>1.09E-2</v>
      </c>
      <c r="O627" s="440" t="s">
        <v>154</v>
      </c>
      <c r="P627" s="441">
        <v>1</v>
      </c>
      <c r="Q627" s="439" t="s">
        <v>175</v>
      </c>
      <c r="R627" s="442">
        <v>273043</v>
      </c>
      <c r="S627" s="453">
        <f t="shared" si="247"/>
        <v>42066753</v>
      </c>
      <c r="T627" s="454">
        <v>525000</v>
      </c>
      <c r="U627" s="445">
        <f t="shared" si="248"/>
        <v>66472.392300000007</v>
      </c>
      <c r="V627" s="449" t="s">
        <v>156</v>
      </c>
      <c r="W627" s="446" t="s">
        <v>78</v>
      </c>
      <c r="X627" s="449">
        <v>2.4</v>
      </c>
      <c r="Y627" s="449" t="s">
        <v>157</v>
      </c>
      <c r="Z627" s="449"/>
      <c r="AA627" s="449" t="s">
        <v>38</v>
      </c>
      <c r="AB627" s="447">
        <f t="shared" si="249"/>
        <v>29188.296699999999</v>
      </c>
      <c r="AC627" s="449" t="s">
        <v>38</v>
      </c>
      <c r="AD627" s="448">
        <f t="shared" si="250"/>
        <v>655.30319999999995</v>
      </c>
      <c r="AE627" s="449" t="s">
        <v>38</v>
      </c>
      <c r="AF627" s="309" t="s">
        <v>38</v>
      </c>
    </row>
    <row r="628" spans="1:32" ht="15" customHeight="1">
      <c r="A628" s="436" t="s">
        <v>127</v>
      </c>
      <c r="B628" s="449" t="s">
        <v>36</v>
      </c>
      <c r="C628" s="450" t="s">
        <v>152</v>
      </c>
      <c r="D628" s="434">
        <v>130040670017662</v>
      </c>
      <c r="E628" s="449" t="s">
        <v>0</v>
      </c>
      <c r="F628" s="449" t="s">
        <v>128</v>
      </c>
      <c r="G628" s="451" t="s">
        <v>76</v>
      </c>
      <c r="H628" s="435">
        <v>2025</v>
      </c>
      <c r="I628" s="436">
        <v>3</v>
      </c>
      <c r="J628" s="437">
        <v>45750</v>
      </c>
      <c r="K628" s="452" t="s">
        <v>38</v>
      </c>
      <c r="L628" s="439">
        <v>4.8000000000000001E-2</v>
      </c>
      <c r="M628" s="439">
        <v>6.0299999999999999E-2</v>
      </c>
      <c r="N628" s="439">
        <v>1.23E-2</v>
      </c>
      <c r="O628" s="440" t="s">
        <v>154</v>
      </c>
      <c r="P628" s="441">
        <v>1</v>
      </c>
      <c r="Q628" s="439" t="s">
        <v>176</v>
      </c>
      <c r="R628" s="442">
        <v>207000</v>
      </c>
      <c r="S628" s="453">
        <f t="shared" si="247"/>
        <v>26049974</v>
      </c>
      <c r="T628" s="454">
        <v>589000</v>
      </c>
      <c r="U628" s="445">
        <f t="shared" si="248"/>
        <v>268585.3198</v>
      </c>
      <c r="V628" s="449" t="s">
        <v>156</v>
      </c>
      <c r="W628" s="446" t="s">
        <v>78</v>
      </c>
      <c r="X628" s="449">
        <v>0.67</v>
      </c>
      <c r="Y628" s="449" t="s">
        <v>157</v>
      </c>
      <c r="Z628" s="449"/>
      <c r="AA628" s="449" t="s">
        <v>38</v>
      </c>
      <c r="AB628" s="447">
        <f t="shared" si="249"/>
        <v>12482.1</v>
      </c>
      <c r="AC628" s="449" t="s">
        <v>38</v>
      </c>
      <c r="AD628" s="448">
        <f t="shared" si="250"/>
        <v>138.69</v>
      </c>
      <c r="AE628" s="449" t="s">
        <v>38</v>
      </c>
      <c r="AF628" s="309" t="s">
        <v>38</v>
      </c>
    </row>
    <row r="629" spans="1:32" ht="15" customHeight="1">
      <c r="A629" s="431" t="s">
        <v>130</v>
      </c>
      <c r="B629" s="432" t="s">
        <v>36</v>
      </c>
      <c r="C629" s="433" t="s">
        <v>147</v>
      </c>
      <c r="D629" s="434">
        <v>130040670023444</v>
      </c>
      <c r="E629" s="432" t="s">
        <v>0</v>
      </c>
      <c r="F629" s="432" t="s">
        <v>128</v>
      </c>
      <c r="G629" s="435" t="s">
        <v>76</v>
      </c>
      <c r="H629" s="435">
        <v>2025</v>
      </c>
      <c r="I629" s="436">
        <v>3</v>
      </c>
      <c r="J629" s="437">
        <v>45750</v>
      </c>
      <c r="K629" s="438" t="s">
        <v>38</v>
      </c>
      <c r="L629" s="439">
        <v>0.7006</v>
      </c>
      <c r="M629" s="439">
        <v>0.7419</v>
      </c>
      <c r="N629" s="439">
        <v>4.1300000000000003E-2</v>
      </c>
      <c r="O629" s="440" t="s">
        <v>154</v>
      </c>
      <c r="P629" s="441">
        <v>1</v>
      </c>
      <c r="Q629" s="439" t="s">
        <v>149</v>
      </c>
      <c r="R629" s="442">
        <v>80000</v>
      </c>
      <c r="S629" s="443">
        <f t="shared" si="247"/>
        <v>23097772</v>
      </c>
      <c r="T629" s="444">
        <v>1980000</v>
      </c>
      <c r="U629" s="445">
        <f>T629-N629*S629</f>
        <v>1026062.0164</v>
      </c>
      <c r="V629" s="432" t="s">
        <v>150</v>
      </c>
      <c r="W629" s="446" t="s">
        <v>78</v>
      </c>
      <c r="X629" s="432">
        <v>10.1</v>
      </c>
      <c r="Y629" s="432" t="s">
        <v>151</v>
      </c>
      <c r="Z629" s="432"/>
      <c r="AA629" s="432" t="s">
        <v>38</v>
      </c>
      <c r="AB629" s="447">
        <f t="shared" si="249"/>
        <v>59352</v>
      </c>
      <c r="AC629" s="432" t="s">
        <v>38</v>
      </c>
      <c r="AD629" s="448">
        <f t="shared" si="250"/>
        <v>808</v>
      </c>
      <c r="AE629" s="432" t="s">
        <v>38</v>
      </c>
      <c r="AF629" s="309" t="s">
        <v>38</v>
      </c>
    </row>
    <row r="630" spans="1:32" ht="15" customHeight="1">
      <c r="A630" s="436" t="s">
        <v>130</v>
      </c>
      <c r="B630" s="449" t="s">
        <v>36</v>
      </c>
      <c r="C630" s="450" t="s">
        <v>152</v>
      </c>
      <c r="D630" s="434">
        <v>130040670023440</v>
      </c>
      <c r="E630" s="449" t="s">
        <v>0</v>
      </c>
      <c r="F630" s="449" t="s">
        <v>153</v>
      </c>
      <c r="G630" s="451" t="s">
        <v>76</v>
      </c>
      <c r="H630" s="435">
        <v>2025</v>
      </c>
      <c r="I630" s="436">
        <v>3</v>
      </c>
      <c r="J630" s="437">
        <v>45750</v>
      </c>
      <c r="K630" s="452" t="s">
        <v>38</v>
      </c>
      <c r="L630" s="439">
        <v>0.12970000000000001</v>
      </c>
      <c r="M630" s="439">
        <v>0.15260000000000001</v>
      </c>
      <c r="N630" s="439">
        <v>2.29E-2</v>
      </c>
      <c r="O630" s="440" t="s">
        <v>154</v>
      </c>
      <c r="P630" s="441">
        <v>1</v>
      </c>
      <c r="Q630" s="439" t="s">
        <v>155</v>
      </c>
      <c r="R630" s="442">
        <v>285142</v>
      </c>
      <c r="S630" s="453">
        <f t="shared" si="247"/>
        <v>9667669</v>
      </c>
      <c r="T630" s="454">
        <v>1100000</v>
      </c>
      <c r="U630" s="445">
        <f>T630-N630*S630</f>
        <v>878610.37990000006</v>
      </c>
      <c r="V630" s="449" t="s">
        <v>156</v>
      </c>
      <c r="W630" s="446" t="s">
        <v>78</v>
      </c>
      <c r="X630" s="449">
        <v>2.4</v>
      </c>
      <c r="Y630" s="449" t="s">
        <v>157</v>
      </c>
      <c r="Z630" s="449"/>
      <c r="AA630" s="449" t="s">
        <v>38</v>
      </c>
      <c r="AB630" s="447">
        <f t="shared" si="249"/>
        <v>43512.669200000004</v>
      </c>
      <c r="AC630" s="449" t="s">
        <v>38</v>
      </c>
      <c r="AD630" s="448">
        <f t="shared" si="250"/>
        <v>684.34079999999994</v>
      </c>
      <c r="AE630" s="449" t="s">
        <v>38</v>
      </c>
      <c r="AF630" s="309" t="s">
        <v>38</v>
      </c>
    </row>
    <row r="631" spans="1:32" ht="15" customHeight="1">
      <c r="A631" s="436" t="s">
        <v>130</v>
      </c>
      <c r="B631" s="449" t="s">
        <v>36</v>
      </c>
      <c r="C631" s="450" t="s">
        <v>158</v>
      </c>
      <c r="D631" s="434">
        <v>130040670023442</v>
      </c>
      <c r="E631" s="449" t="s">
        <v>0</v>
      </c>
      <c r="F631" s="449" t="s">
        <v>153</v>
      </c>
      <c r="G631" s="451" t="s">
        <v>76</v>
      </c>
      <c r="H631" s="435">
        <v>2025</v>
      </c>
      <c r="I631" s="436">
        <v>3</v>
      </c>
      <c r="J631" s="437">
        <v>45750</v>
      </c>
      <c r="K631" s="452" t="s">
        <v>38</v>
      </c>
      <c r="L631" s="439">
        <v>0.1135</v>
      </c>
      <c r="M631" s="439">
        <v>0.1343</v>
      </c>
      <c r="N631" s="439">
        <v>2.0799999999999999E-2</v>
      </c>
      <c r="O631" s="440" t="s">
        <v>154</v>
      </c>
      <c r="P631" s="441">
        <v>1</v>
      </c>
      <c r="Q631" s="439" t="s">
        <v>159</v>
      </c>
      <c r="R631" s="442">
        <v>292503</v>
      </c>
      <c r="S631" s="453">
        <f t="shared" si="247"/>
        <v>9715090</v>
      </c>
      <c r="T631" s="454">
        <v>999000</v>
      </c>
      <c r="U631" s="445">
        <f t="shared" ref="U631" si="251">T631-N631*S631</f>
        <v>796926.12800000003</v>
      </c>
      <c r="V631" s="449" t="s">
        <v>156</v>
      </c>
      <c r="W631" s="446" t="s">
        <v>78</v>
      </c>
      <c r="X631" s="449">
        <v>1.8</v>
      </c>
      <c r="Y631" s="449" t="s">
        <v>157</v>
      </c>
      <c r="Z631" s="449"/>
      <c r="AA631" s="449" t="s">
        <v>38</v>
      </c>
      <c r="AB631" s="447">
        <f t="shared" si="249"/>
        <v>39283.152900000001</v>
      </c>
      <c r="AC631" s="449" t="s">
        <v>38</v>
      </c>
      <c r="AD631" s="448">
        <f t="shared" si="250"/>
        <v>526.50540000000001</v>
      </c>
      <c r="AE631" s="449" t="s">
        <v>38</v>
      </c>
      <c r="AF631" s="309" t="s">
        <v>38</v>
      </c>
    </row>
    <row r="632" spans="1:32" ht="15" customHeight="1">
      <c r="A632" s="436" t="s">
        <v>130</v>
      </c>
      <c r="B632" s="449" t="s">
        <v>36</v>
      </c>
      <c r="C632" s="450" t="s">
        <v>160</v>
      </c>
      <c r="D632" s="434">
        <v>130040670023448</v>
      </c>
      <c r="E632" s="449" t="s">
        <v>0</v>
      </c>
      <c r="F632" s="449" t="s">
        <v>153</v>
      </c>
      <c r="G632" s="451" t="s">
        <v>76</v>
      </c>
      <c r="H632" s="435">
        <v>2025</v>
      </c>
      <c r="I632" s="436">
        <v>3</v>
      </c>
      <c r="J632" s="437">
        <v>45750</v>
      </c>
      <c r="K632" s="452" t="s">
        <v>38</v>
      </c>
      <c r="L632" s="439">
        <v>0.1056</v>
      </c>
      <c r="M632" s="439">
        <v>0.11840000000000001</v>
      </c>
      <c r="N632" s="439">
        <v>1.2800000000000001E-2</v>
      </c>
      <c r="O632" s="440" t="s">
        <v>154</v>
      </c>
      <c r="P632" s="441">
        <v>1</v>
      </c>
      <c r="Q632" s="439" t="s">
        <v>161</v>
      </c>
      <c r="R632" s="442">
        <v>245500</v>
      </c>
      <c r="S632" s="453">
        <f t="shared" si="247"/>
        <v>23183802</v>
      </c>
      <c r="T632" s="454">
        <v>615000</v>
      </c>
      <c r="U632" s="445">
        <f>T632-N632*S632</f>
        <v>318247.33439999999</v>
      </c>
      <c r="V632" s="449" t="s">
        <v>150</v>
      </c>
      <c r="W632" s="446" t="s">
        <v>78</v>
      </c>
      <c r="X632" s="449">
        <v>1.4</v>
      </c>
      <c r="Y632" s="449" t="s">
        <v>151</v>
      </c>
      <c r="Z632" s="449"/>
      <c r="AA632" s="449" t="s">
        <v>38</v>
      </c>
      <c r="AB632" s="447">
        <f t="shared" si="249"/>
        <v>29067.200000000001</v>
      </c>
      <c r="AC632" s="449" t="s">
        <v>38</v>
      </c>
      <c r="AD632" s="448">
        <f t="shared" si="250"/>
        <v>343.7</v>
      </c>
      <c r="AE632" s="449" t="s">
        <v>38</v>
      </c>
      <c r="AF632" s="309" t="s">
        <v>38</v>
      </c>
    </row>
    <row r="633" spans="1:32" ht="15" customHeight="1">
      <c r="A633" s="436" t="s">
        <v>130</v>
      </c>
      <c r="B633" s="449" t="s">
        <v>36</v>
      </c>
      <c r="C633" s="450" t="s">
        <v>162</v>
      </c>
      <c r="D633" s="434">
        <v>130040670023445</v>
      </c>
      <c r="E633" s="449" t="s">
        <v>0</v>
      </c>
      <c r="F633" s="449" t="s">
        <v>153</v>
      </c>
      <c r="G633" s="451" t="s">
        <v>76</v>
      </c>
      <c r="H633" s="435">
        <v>2025</v>
      </c>
      <c r="I633" s="436">
        <v>3</v>
      </c>
      <c r="J633" s="437">
        <v>45750</v>
      </c>
      <c r="K633" s="452" t="s">
        <v>38</v>
      </c>
      <c r="L633" s="439">
        <v>9.5299999999999996E-2</v>
      </c>
      <c r="M633" s="439">
        <v>0.1072</v>
      </c>
      <c r="N633" s="439">
        <v>1.1900000000000001E-2</v>
      </c>
      <c r="O633" s="440" t="s">
        <v>154</v>
      </c>
      <c r="P633" s="441">
        <v>1</v>
      </c>
      <c r="Q633" s="439" t="s">
        <v>163</v>
      </c>
      <c r="R633" s="442">
        <v>294234</v>
      </c>
      <c r="S633" s="453">
        <f t="shared" si="247"/>
        <v>9736758</v>
      </c>
      <c r="T633" s="454">
        <v>570000</v>
      </c>
      <c r="U633" s="445">
        <f t="shared" ref="U633:U637" si="252">T633-N633*S633</f>
        <v>454132.57980000001</v>
      </c>
      <c r="V633" s="449" t="s">
        <v>150</v>
      </c>
      <c r="W633" s="446" t="s">
        <v>78</v>
      </c>
      <c r="X633" s="449">
        <v>1.2</v>
      </c>
      <c r="Y633" s="449" t="s">
        <v>151</v>
      </c>
      <c r="Z633" s="449"/>
      <c r="AA633" s="449" t="s">
        <v>38</v>
      </c>
      <c r="AB633" s="447">
        <f t="shared" si="249"/>
        <v>31541.8848</v>
      </c>
      <c r="AC633" s="449" t="s">
        <v>38</v>
      </c>
      <c r="AD633" s="448">
        <f t="shared" si="250"/>
        <v>353.08080000000001</v>
      </c>
      <c r="AE633" s="449" t="s">
        <v>38</v>
      </c>
      <c r="AF633" s="309" t="s">
        <v>38</v>
      </c>
    </row>
    <row r="634" spans="1:32" ht="15" customHeight="1">
      <c r="A634" s="436" t="s">
        <v>130</v>
      </c>
      <c r="B634" s="449" t="s">
        <v>36</v>
      </c>
      <c r="C634" s="450" t="s">
        <v>165</v>
      </c>
      <c r="D634" s="434">
        <v>130040670023443</v>
      </c>
      <c r="E634" s="449" t="s">
        <v>0</v>
      </c>
      <c r="F634" s="449" t="s">
        <v>128</v>
      </c>
      <c r="G634" s="451" t="s">
        <v>76</v>
      </c>
      <c r="H634" s="435">
        <v>2025</v>
      </c>
      <c r="I634" s="436">
        <v>3</v>
      </c>
      <c r="J634" s="437">
        <v>45750</v>
      </c>
      <c r="K634" s="452" t="s">
        <v>38</v>
      </c>
      <c r="L634" s="439">
        <v>5.2299999999999999E-2</v>
      </c>
      <c r="M634" s="439">
        <v>5.8900000000000001E-2</v>
      </c>
      <c r="N634" s="439">
        <v>6.6E-3</v>
      </c>
      <c r="O634" s="440" t="s">
        <v>154</v>
      </c>
      <c r="P634" s="441">
        <v>1</v>
      </c>
      <c r="Q634" s="439" t="s">
        <v>166</v>
      </c>
      <c r="R634" s="455">
        <v>0</v>
      </c>
      <c r="S634" s="453">
        <f t="shared" si="247"/>
        <v>30700680</v>
      </c>
      <c r="T634" s="454">
        <v>315000</v>
      </c>
      <c r="U634" s="445">
        <f t="shared" si="252"/>
        <v>112375.51199999999</v>
      </c>
      <c r="V634" s="449" t="s">
        <v>167</v>
      </c>
      <c r="W634" s="446" t="s">
        <v>78</v>
      </c>
      <c r="X634" s="449">
        <v>1.06</v>
      </c>
      <c r="Y634" s="456" t="s">
        <v>168</v>
      </c>
      <c r="Z634" s="456"/>
      <c r="AA634" s="449" t="s">
        <v>38</v>
      </c>
      <c r="AB634" s="447">
        <f t="shared" si="249"/>
        <v>0</v>
      </c>
      <c r="AC634" s="449" t="s">
        <v>38</v>
      </c>
      <c r="AD634" s="448">
        <f t="shared" si="250"/>
        <v>0</v>
      </c>
      <c r="AE634" s="449" t="s">
        <v>38</v>
      </c>
      <c r="AF634" s="309" t="s">
        <v>38</v>
      </c>
    </row>
    <row r="635" spans="1:32" ht="15" customHeight="1">
      <c r="A635" s="436" t="s">
        <v>130</v>
      </c>
      <c r="B635" s="449" t="s">
        <v>36</v>
      </c>
      <c r="C635" s="450" t="s">
        <v>169</v>
      </c>
      <c r="D635" s="434">
        <v>130040670024534</v>
      </c>
      <c r="E635" s="449" t="s">
        <v>0</v>
      </c>
      <c r="F635" s="449" t="s">
        <v>153</v>
      </c>
      <c r="G635" s="451" t="s">
        <v>76</v>
      </c>
      <c r="H635" s="435">
        <v>2025</v>
      </c>
      <c r="I635" s="436">
        <v>3</v>
      </c>
      <c r="J635" s="437">
        <v>45750</v>
      </c>
      <c r="K635" s="452" t="s">
        <v>38</v>
      </c>
      <c r="L635" s="439">
        <v>3.4099999999999998E-2</v>
      </c>
      <c r="M635" s="439">
        <v>4.1300000000000003E-2</v>
      </c>
      <c r="N635" s="439">
        <v>7.1999999999999998E-3</v>
      </c>
      <c r="O635" s="440" t="s">
        <v>154</v>
      </c>
      <c r="P635" s="441">
        <v>1</v>
      </c>
      <c r="Q635" s="439" t="s">
        <v>170</v>
      </c>
      <c r="R635" s="442">
        <v>302000</v>
      </c>
      <c r="S635" s="453">
        <f t="shared" si="247"/>
        <v>20442792</v>
      </c>
      <c r="T635" s="454">
        <v>345000</v>
      </c>
      <c r="U635" s="445">
        <f t="shared" si="252"/>
        <v>197811.8976</v>
      </c>
      <c r="V635" s="449" t="s">
        <v>171</v>
      </c>
      <c r="W635" s="446" t="s">
        <v>78</v>
      </c>
      <c r="X635" s="449">
        <v>0.27</v>
      </c>
      <c r="Y635" s="449" t="s">
        <v>172</v>
      </c>
      <c r="Z635" s="449"/>
      <c r="AA635" s="449" t="s">
        <v>38</v>
      </c>
      <c r="AB635" s="447">
        <f t="shared" si="249"/>
        <v>12472.6</v>
      </c>
      <c r="AC635" s="449" t="s">
        <v>38</v>
      </c>
      <c r="AD635" s="448">
        <f t="shared" si="250"/>
        <v>81.540000000000006</v>
      </c>
      <c r="AE635" s="449" t="s">
        <v>38</v>
      </c>
      <c r="AF635" s="309" t="s">
        <v>38</v>
      </c>
    </row>
    <row r="636" spans="1:32" ht="15" customHeight="1">
      <c r="A636" s="328" t="s">
        <v>18</v>
      </c>
      <c r="B636" s="469" t="s">
        <v>34</v>
      </c>
      <c r="C636" s="469" t="s">
        <v>147</v>
      </c>
      <c r="D636" s="31">
        <v>130040670029868</v>
      </c>
      <c r="E636" s="469" t="s">
        <v>0</v>
      </c>
      <c r="F636" s="469" t="s">
        <v>128</v>
      </c>
      <c r="G636" s="470" t="s">
        <v>76</v>
      </c>
      <c r="H636" s="471">
        <v>2025</v>
      </c>
      <c r="I636" s="328">
        <v>3</v>
      </c>
      <c r="J636" s="472">
        <v>45750</v>
      </c>
      <c r="K636" s="473" t="s">
        <v>38</v>
      </c>
      <c r="L636" s="474">
        <v>0.1802</v>
      </c>
      <c r="M636" s="474">
        <v>0.21870000000000001</v>
      </c>
      <c r="N636" s="474">
        <v>3.3099999999999997E-2</v>
      </c>
      <c r="O636" s="396" t="s">
        <v>154</v>
      </c>
      <c r="P636" s="475">
        <v>1</v>
      </c>
      <c r="Q636" s="474" t="s">
        <v>214</v>
      </c>
      <c r="R636" s="421">
        <v>14897520</v>
      </c>
      <c r="S636" s="476">
        <f>R636+S607</f>
        <v>120408726</v>
      </c>
      <c r="T636" s="477">
        <v>8913207</v>
      </c>
      <c r="U636" s="478">
        <f t="shared" si="252"/>
        <v>4927678.1694000009</v>
      </c>
      <c r="V636" s="469" t="s">
        <v>167</v>
      </c>
      <c r="W636" s="6" t="s">
        <v>78</v>
      </c>
      <c r="X636" s="469">
        <v>3.8</v>
      </c>
      <c r="Y636" s="479" t="s">
        <v>168</v>
      </c>
      <c r="Z636" s="479"/>
      <c r="AA636" s="469" t="s">
        <v>38</v>
      </c>
      <c r="AB636" s="393">
        <f t="shared" si="249"/>
        <v>3258087.6240000003</v>
      </c>
      <c r="AC636" s="469" t="s">
        <v>38</v>
      </c>
      <c r="AD636" s="15">
        <f t="shared" si="250"/>
        <v>56610.576000000001</v>
      </c>
      <c r="AE636" s="469" t="s">
        <v>38</v>
      </c>
      <c r="AF636" s="323" t="s">
        <v>38</v>
      </c>
    </row>
    <row r="637" spans="1:32" ht="15" customHeight="1">
      <c r="A637" s="328" t="s">
        <v>18</v>
      </c>
      <c r="B637" s="469" t="s">
        <v>34</v>
      </c>
      <c r="C637" s="480" t="s">
        <v>215</v>
      </c>
      <c r="D637" s="31">
        <v>130040670020898</v>
      </c>
      <c r="E637" s="469" t="s">
        <v>0</v>
      </c>
      <c r="F637" s="469" t="s">
        <v>128</v>
      </c>
      <c r="G637" s="470" t="s">
        <v>76</v>
      </c>
      <c r="H637" s="471">
        <v>2025</v>
      </c>
      <c r="I637" s="328">
        <v>3</v>
      </c>
      <c r="J637" s="472">
        <v>45750</v>
      </c>
      <c r="K637" s="473" t="s">
        <v>38</v>
      </c>
      <c r="L637" s="474">
        <v>5.0299999999999997E-2</v>
      </c>
      <c r="M637" s="474">
        <v>7.4499999999999997E-2</v>
      </c>
      <c r="N637" s="474">
        <v>2.4199999999999999E-2</v>
      </c>
      <c r="O637" s="396" t="s">
        <v>154</v>
      </c>
      <c r="P637" s="475">
        <v>1</v>
      </c>
      <c r="Q637" s="474" t="s">
        <v>216</v>
      </c>
      <c r="R637" s="421">
        <v>14880000</v>
      </c>
      <c r="S637" s="476">
        <f>R637+S608</f>
        <v>130288798</v>
      </c>
      <c r="T637" s="477">
        <v>5799197</v>
      </c>
      <c r="U637" s="478">
        <f t="shared" si="252"/>
        <v>2646208.0884000002</v>
      </c>
      <c r="V637" s="469" t="s">
        <v>150</v>
      </c>
      <c r="W637" s="6" t="s">
        <v>78</v>
      </c>
      <c r="X637" s="469">
        <v>0.24</v>
      </c>
      <c r="Y637" s="469" t="s">
        <v>151</v>
      </c>
      <c r="Z637" s="469"/>
      <c r="AA637" s="469" t="s">
        <v>38</v>
      </c>
      <c r="AB637" s="393">
        <f t="shared" si="249"/>
        <v>1108560</v>
      </c>
      <c r="AC637" s="469" t="s">
        <v>38</v>
      </c>
      <c r="AD637" s="15">
        <f t="shared" si="250"/>
        <v>3571.2</v>
      </c>
      <c r="AE637" s="469" t="s">
        <v>38</v>
      </c>
      <c r="AF637" s="323" t="s">
        <v>38</v>
      </c>
    </row>
    <row r="638" spans="1:32" ht="15" customHeight="1">
      <c r="A638" s="328" t="s">
        <v>18</v>
      </c>
      <c r="B638" s="469" t="s">
        <v>34</v>
      </c>
      <c r="C638" s="480" t="s">
        <v>162</v>
      </c>
      <c r="D638" s="31">
        <v>130040670020899</v>
      </c>
      <c r="E638" s="469" t="s">
        <v>0</v>
      </c>
      <c r="F638" s="469" t="s">
        <v>128</v>
      </c>
      <c r="G638" s="470" t="s">
        <v>76</v>
      </c>
      <c r="H638" s="471">
        <v>2025</v>
      </c>
      <c r="I638" s="328">
        <v>3</v>
      </c>
      <c r="J638" s="472">
        <v>45750</v>
      </c>
      <c r="K638" s="473" t="s">
        <v>38</v>
      </c>
      <c r="L638" s="474">
        <v>6.2700000000000006E-2</v>
      </c>
      <c r="M638" s="474">
        <v>8.7300000000000003E-2</v>
      </c>
      <c r="N638" s="474">
        <v>2.46E-2</v>
      </c>
      <c r="O638" s="396" t="s">
        <v>154</v>
      </c>
      <c r="P638" s="475">
        <v>1</v>
      </c>
      <c r="Q638" s="474" t="s">
        <v>217</v>
      </c>
      <c r="R638" s="421">
        <v>15660000</v>
      </c>
      <c r="S638" s="476">
        <f>R638+S609</f>
        <v>131808647</v>
      </c>
      <c r="T638" s="477">
        <v>5893484</v>
      </c>
      <c r="U638" s="478">
        <f>T638-N638*S638</f>
        <v>2650991.2837999999</v>
      </c>
      <c r="V638" s="469" t="s">
        <v>150</v>
      </c>
      <c r="W638" s="6" t="s">
        <v>78</v>
      </c>
      <c r="X638" s="469">
        <v>0.53</v>
      </c>
      <c r="Y638" s="469" t="s">
        <v>151</v>
      </c>
      <c r="Z638" s="469"/>
      <c r="AA638" s="469" t="s">
        <v>38</v>
      </c>
      <c r="AB638" s="393">
        <f t="shared" si="249"/>
        <v>1367118</v>
      </c>
      <c r="AC638" s="469" t="s">
        <v>38</v>
      </c>
      <c r="AD638" s="15">
        <f t="shared" si="250"/>
        <v>8299.7999999999993</v>
      </c>
      <c r="AE638" s="469" t="s">
        <v>38</v>
      </c>
      <c r="AF638" s="323" t="s">
        <v>38</v>
      </c>
    </row>
  </sheetData>
  <sheetProtection selectLockedCells="1"/>
  <protectedRanges>
    <protectedRange sqref="A4:A478" name="Range1"/>
    <protectedRange sqref="B1" name="Range1_10"/>
  </protectedRanges>
  <autoFilter ref="A3:AE635"/>
  <phoneticPr fontId="4" type="noConversion"/>
  <dataValidations count="1">
    <dataValidation type="list" allowBlank="1" showInputMessage="1" sqref="N406:N437">
      <formula1>"Total Amount EUR, Total Amount USD, Total Amount HKD,Total Amount RMB"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Sheet1!$C$3:$C$6</xm:f>
          </x14:formula1>
          <xm:sqref>G4:G478</xm:sqref>
        </x14:dataValidation>
        <x14:dataValidation type="list" allowBlank="1" showInputMessage="1" showErrorMessage="1">
          <x14:formula1>
            <xm:f>Sheet1!$I$3:$I$14</xm:f>
          </x14:formula1>
          <xm:sqref>H4:H478</xm:sqref>
        </x14:dataValidation>
        <x14:dataValidation type="list" allowBlank="1" showInputMessage="1" showErrorMessage="1">
          <x14:formula1>
            <xm:f>Sheet1!$J$3:$J$14</xm:f>
          </x14:formula1>
          <xm:sqref>I4:I580</xm:sqref>
        </x14:dataValidation>
        <x14:dataValidation type="list" allowBlank="1" showInputMessage="1" showErrorMessage="1">
          <x14:formula1>
            <xm:f>Sheet1!$H$3:$H$6</xm:f>
          </x14:formula1>
          <xm:sqref>Z4:Z580</xm:sqref>
        </x14:dataValidation>
        <x14:dataValidation type="list" allowBlank="1" showInputMessage="1" showErrorMessage="1">
          <x14:formula1>
            <xm:f>Sheet1!$A$2:$A$64</xm:f>
          </x14:formula1>
          <xm:sqref>A4:A580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/>
  </sheetViews>
  <sheetFormatPr defaultRowHeight="14.25"/>
  <cols>
    <col min="6" max="6" width="11.25" bestFit="1" customWidth="1"/>
    <col min="8" max="10" width="12.375" bestFit="1" customWidth="1"/>
    <col min="11" max="11" width="9.875" bestFit="1" customWidth="1"/>
    <col min="12" max="12" width="12.375" bestFit="1" customWidth="1"/>
    <col min="14" max="15" width="12.375" bestFit="1" customWidth="1"/>
    <col min="16" max="16" width="11.25" bestFit="1" customWidth="1"/>
    <col min="17" max="18" width="12.375" bestFit="1" customWidth="1"/>
    <col min="19" max="19" width="5.75" customWidth="1"/>
    <col min="20" max="20" width="11.125" bestFit="1" customWidth="1"/>
    <col min="21" max="22" width="12.375" bestFit="1" customWidth="1"/>
    <col min="23" max="23" width="12.25" customWidth="1"/>
  </cols>
  <sheetData>
    <row r="1" spans="1: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 t="s">
        <v>218</v>
      </c>
      <c r="P1" s="71">
        <v>8.81203</v>
      </c>
      <c r="Q1" s="70"/>
      <c r="R1" s="70"/>
      <c r="S1" s="70"/>
      <c r="T1" s="70"/>
      <c r="U1" s="70"/>
      <c r="V1" s="70"/>
      <c r="W1" s="70"/>
      <c r="X1" s="70"/>
      <c r="Y1" s="70"/>
    </row>
    <row r="2" spans="1:25">
      <c r="A2" s="70"/>
      <c r="B2" s="70"/>
      <c r="C2" s="70"/>
      <c r="D2" s="70"/>
      <c r="E2" s="72" t="s">
        <v>219</v>
      </c>
      <c r="F2" s="72"/>
      <c r="G2" s="70"/>
      <c r="H2" s="70"/>
      <c r="I2" s="70"/>
      <c r="J2" s="70"/>
      <c r="K2" s="70"/>
      <c r="L2" s="70"/>
      <c r="M2" s="70"/>
      <c r="N2" s="70"/>
      <c r="O2" s="70"/>
      <c r="P2" s="71"/>
      <c r="Q2" s="70"/>
      <c r="R2" s="70"/>
      <c r="S2" s="70"/>
      <c r="T2" s="73"/>
      <c r="U2" s="70"/>
      <c r="V2" s="70"/>
      <c r="W2" s="70"/>
      <c r="X2" s="70"/>
      <c r="Y2" s="70"/>
    </row>
    <row r="3" spans="1:25" ht="22.5">
      <c r="A3" s="74"/>
      <c r="B3" s="75"/>
      <c r="C3" s="76"/>
      <c r="D3" s="77"/>
      <c r="E3" s="77"/>
      <c r="F3" s="77"/>
      <c r="G3" s="77"/>
      <c r="H3" s="78" t="s">
        <v>220</v>
      </c>
      <c r="I3" s="78" t="s">
        <v>221</v>
      </c>
      <c r="J3" s="78" t="s">
        <v>222</v>
      </c>
      <c r="K3" s="78" t="s">
        <v>223</v>
      </c>
      <c r="L3" s="79" t="s">
        <v>224</v>
      </c>
      <c r="M3" s="79"/>
      <c r="N3" s="79"/>
      <c r="O3" s="78" t="s">
        <v>225</v>
      </c>
      <c r="P3" s="78" t="s">
        <v>226</v>
      </c>
      <c r="Q3" s="78" t="s">
        <v>227</v>
      </c>
      <c r="R3" s="79" t="s">
        <v>228</v>
      </c>
      <c r="S3" s="74"/>
      <c r="T3" s="80" t="s">
        <v>229</v>
      </c>
      <c r="U3" s="80" t="s">
        <v>230</v>
      </c>
      <c r="V3" s="80" t="s">
        <v>231</v>
      </c>
      <c r="W3" s="81"/>
      <c r="X3" s="74"/>
      <c r="Y3" s="74"/>
    </row>
    <row r="4" spans="1:25" ht="45">
      <c r="A4" s="82"/>
      <c r="B4" s="83" t="s">
        <v>232</v>
      </c>
      <c r="C4" s="84" t="s">
        <v>45</v>
      </c>
      <c r="D4" s="84" t="s">
        <v>233</v>
      </c>
      <c r="E4" s="85" t="s">
        <v>43</v>
      </c>
      <c r="F4" s="85" t="s">
        <v>234</v>
      </c>
      <c r="G4" s="84" t="s">
        <v>235</v>
      </c>
      <c r="H4" s="84" t="s">
        <v>236</v>
      </c>
      <c r="I4" s="84" t="s">
        <v>237</v>
      </c>
      <c r="J4" s="84" t="s">
        <v>238</v>
      </c>
      <c r="K4" s="84" t="s">
        <v>239</v>
      </c>
      <c r="L4" s="84" t="s">
        <v>240</v>
      </c>
      <c r="M4" s="84" t="s">
        <v>241</v>
      </c>
      <c r="N4" s="84" t="s">
        <v>242</v>
      </c>
      <c r="O4" s="86" t="s">
        <v>243</v>
      </c>
      <c r="P4" s="86" t="s">
        <v>244</v>
      </c>
      <c r="Q4" s="86" t="s">
        <v>245</v>
      </c>
      <c r="R4" s="84" t="s">
        <v>246</v>
      </c>
      <c r="S4" s="82"/>
      <c r="T4" s="86" t="s">
        <v>247</v>
      </c>
      <c r="U4" s="84" t="s">
        <v>248</v>
      </c>
      <c r="V4" s="84" t="s">
        <v>249</v>
      </c>
      <c r="W4" s="87"/>
      <c r="X4" s="82"/>
      <c r="Y4" s="82"/>
    </row>
    <row r="5" spans="1:25">
      <c r="A5" s="88"/>
      <c r="B5" s="485" t="s">
        <v>11</v>
      </c>
      <c r="C5" s="486" t="s">
        <v>0</v>
      </c>
      <c r="D5" s="491" t="s">
        <v>76</v>
      </c>
      <c r="E5" s="89" t="s">
        <v>250</v>
      </c>
      <c r="F5" s="90">
        <v>0.31091750000000001</v>
      </c>
      <c r="G5" s="91" t="s">
        <v>251</v>
      </c>
      <c r="H5" s="92">
        <v>16</v>
      </c>
      <c r="I5" s="93">
        <v>1000000</v>
      </c>
      <c r="J5" s="94">
        <v>16</v>
      </c>
      <c r="K5" s="95">
        <v>16000000</v>
      </c>
      <c r="L5" s="96">
        <v>374.961832061069</v>
      </c>
      <c r="M5" s="97">
        <v>1200000</v>
      </c>
      <c r="N5" s="98">
        <v>19200000</v>
      </c>
      <c r="O5" s="99">
        <v>614000</v>
      </c>
      <c r="P5" s="100">
        <v>2.6200000000000001E-2</v>
      </c>
      <c r="Q5" s="99">
        <v>9824000</v>
      </c>
      <c r="R5" s="101">
        <v>1.1148395999559699</v>
      </c>
      <c r="S5" s="88"/>
      <c r="T5" s="102">
        <v>245.447427</v>
      </c>
      <c r="U5" s="155">
        <v>0.72976630667394504</v>
      </c>
      <c r="V5" s="104">
        <v>0.385073293282025</v>
      </c>
      <c r="W5" s="88">
        <v>0.28471750000000001</v>
      </c>
      <c r="X5" s="155">
        <f>T5*P5/P1</f>
        <v>0.7297663066739446</v>
      </c>
      <c r="Y5" s="88"/>
    </row>
    <row r="6" spans="1:25">
      <c r="A6" s="88"/>
      <c r="B6" s="485"/>
      <c r="C6" s="487"/>
      <c r="D6" s="491"/>
      <c r="E6" s="89" t="s">
        <v>252</v>
      </c>
      <c r="F6" s="90">
        <v>0.13412250000000001</v>
      </c>
      <c r="G6" s="91" t="s">
        <v>251</v>
      </c>
      <c r="H6" s="92">
        <v>7</v>
      </c>
      <c r="I6" s="93">
        <v>1000000</v>
      </c>
      <c r="J6" s="94">
        <v>32</v>
      </c>
      <c r="K6" s="95">
        <v>32000000</v>
      </c>
      <c r="L6" s="96">
        <v>163.37786259542</v>
      </c>
      <c r="M6" s="97">
        <v>2100000</v>
      </c>
      <c r="N6" s="98">
        <v>14700000</v>
      </c>
      <c r="O6" s="99">
        <v>611500</v>
      </c>
      <c r="P6" s="100">
        <v>2.6200000000000001E-2</v>
      </c>
      <c r="Q6" s="99">
        <v>4280500</v>
      </c>
      <c r="R6" s="101">
        <v>0.48575640346208498</v>
      </c>
      <c r="S6" s="88"/>
      <c r="T6" s="102">
        <v>235.84204399999999</v>
      </c>
      <c r="U6" s="103">
        <v>0.70120750301576396</v>
      </c>
      <c r="V6" s="104">
        <v>-0.215451099553678</v>
      </c>
      <c r="W6" s="88"/>
      <c r="X6" s="88"/>
      <c r="Y6" s="88"/>
    </row>
    <row r="7" spans="1:25">
      <c r="A7" s="88"/>
      <c r="B7" s="485"/>
      <c r="C7" s="487"/>
      <c r="D7" s="491"/>
      <c r="E7" s="89" t="s">
        <v>160</v>
      </c>
      <c r="F7" s="90">
        <v>0.13241249999999999</v>
      </c>
      <c r="G7" s="91" t="s">
        <v>251</v>
      </c>
      <c r="H7" s="92">
        <v>7</v>
      </c>
      <c r="I7" s="93">
        <v>1000000</v>
      </c>
      <c r="J7" s="94">
        <v>32</v>
      </c>
      <c r="K7" s="95">
        <v>32000000</v>
      </c>
      <c r="L7" s="96">
        <v>175.26717557251899</v>
      </c>
      <c r="M7" s="97">
        <v>2100000</v>
      </c>
      <c r="N7" s="98">
        <v>14700000</v>
      </c>
      <c r="O7" s="99">
        <v>656000</v>
      </c>
      <c r="P7" s="100">
        <v>2.6200000000000001E-2</v>
      </c>
      <c r="Q7" s="99">
        <v>4592000</v>
      </c>
      <c r="R7" s="101">
        <v>0.52110580649407701</v>
      </c>
      <c r="S7" s="88"/>
      <c r="T7" s="102">
        <v>239.94293099999999</v>
      </c>
      <c r="U7" s="103">
        <v>0.713400293939081</v>
      </c>
      <c r="V7" s="104">
        <v>-0.19229448744500399</v>
      </c>
      <c r="W7" s="88"/>
      <c r="X7" s="88"/>
      <c r="Y7" s="88"/>
    </row>
    <row r="8" spans="1:25">
      <c r="A8" s="88"/>
      <c r="B8" s="485"/>
      <c r="C8" s="488"/>
      <c r="D8" s="491"/>
      <c r="E8" s="89" t="s">
        <v>162</v>
      </c>
      <c r="F8" s="90">
        <v>0.1212975</v>
      </c>
      <c r="G8" s="91" t="s">
        <v>251</v>
      </c>
      <c r="H8" s="92">
        <v>7</v>
      </c>
      <c r="I8" s="93">
        <v>1000000</v>
      </c>
      <c r="J8" s="94">
        <v>32</v>
      </c>
      <c r="K8" s="95">
        <v>32000000</v>
      </c>
      <c r="L8" s="96">
        <v>184.351145038168</v>
      </c>
      <c r="M8" s="97">
        <v>2100000</v>
      </c>
      <c r="N8" s="98">
        <v>14700000</v>
      </c>
      <c r="O8" s="99">
        <v>690000</v>
      </c>
      <c r="P8" s="100">
        <v>2.6200000000000001E-2</v>
      </c>
      <c r="Q8" s="99">
        <v>4830000</v>
      </c>
      <c r="R8" s="101">
        <v>0.548114339147733</v>
      </c>
      <c r="S8" s="88"/>
      <c r="T8" s="105">
        <v>241.11933999999999</v>
      </c>
      <c r="U8" s="103">
        <v>0.71689800284383998</v>
      </c>
      <c r="V8" s="104">
        <v>-0.16878366369610601</v>
      </c>
      <c r="W8" s="88"/>
      <c r="X8" s="88"/>
      <c r="Y8" s="88"/>
    </row>
    <row r="9" spans="1:25">
      <c r="A9" s="70"/>
      <c r="B9" s="485"/>
      <c r="C9" s="106"/>
      <c r="D9" s="107"/>
      <c r="E9" s="108"/>
      <c r="F9" s="108"/>
      <c r="G9" s="109"/>
      <c r="H9" s="109"/>
      <c r="I9" s="109"/>
      <c r="J9" s="109"/>
      <c r="K9" s="109"/>
      <c r="L9" s="493" t="s">
        <v>253</v>
      </c>
      <c r="M9" s="493"/>
      <c r="N9" s="493"/>
      <c r="O9" s="493"/>
      <c r="P9" s="494"/>
      <c r="Q9" s="110">
        <v>23526500</v>
      </c>
      <c r="R9" s="111">
        <v>2.66981614905986</v>
      </c>
      <c r="S9" s="112"/>
      <c r="T9" s="113"/>
      <c r="U9" s="113">
        <v>2.8612721064726299</v>
      </c>
      <c r="V9" s="113">
        <v>-0.191455957412764</v>
      </c>
      <c r="W9" s="154">
        <f>V9*8.81203*1000000</f>
        <v>-1687115.6403999988</v>
      </c>
      <c r="X9" s="70"/>
      <c r="Y9" s="70"/>
    </row>
    <row r="10" spans="1:25">
      <c r="A10" s="114"/>
      <c r="B10" s="485"/>
      <c r="C10" s="115"/>
      <c r="D10" s="116"/>
      <c r="E10" s="116"/>
      <c r="F10" s="116"/>
      <c r="G10" s="116"/>
      <c r="H10" s="116"/>
      <c r="I10" s="116"/>
      <c r="J10" s="116"/>
      <c r="K10" s="116"/>
      <c r="L10" s="495" t="s">
        <v>254</v>
      </c>
      <c r="M10" s="496"/>
      <c r="N10" s="496"/>
      <c r="O10" s="496"/>
      <c r="P10" s="497"/>
      <c r="Q10" s="117">
        <v>23526500</v>
      </c>
      <c r="R10" s="118">
        <v>2.66981614905986</v>
      </c>
      <c r="S10" s="75"/>
      <c r="T10" s="119"/>
      <c r="U10" s="120">
        <v>2.8612721064726299</v>
      </c>
      <c r="V10" s="120">
        <v>-0.191455957412764</v>
      </c>
      <c r="W10" s="121"/>
      <c r="X10" s="122"/>
      <c r="Y10" s="123"/>
    </row>
    <row r="11" spans="1:25">
      <c r="A11" s="82"/>
      <c r="B11" s="124"/>
      <c r="C11" s="70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5"/>
      <c r="P11" s="126"/>
      <c r="Q11" s="127"/>
      <c r="R11" s="127"/>
      <c r="S11" s="70"/>
      <c r="T11" s="121"/>
      <c r="U11" s="121"/>
      <c r="V11" s="128"/>
      <c r="W11" s="70"/>
      <c r="X11" s="70"/>
      <c r="Y11" s="70"/>
    </row>
    <row r="12" spans="1:25">
      <c r="A12" s="82"/>
      <c r="B12" s="485" t="s">
        <v>255</v>
      </c>
      <c r="C12" s="489" t="s">
        <v>0</v>
      </c>
      <c r="D12" s="485" t="s">
        <v>76</v>
      </c>
      <c r="E12" s="129" t="s">
        <v>256</v>
      </c>
      <c r="F12" s="90">
        <v>0.86240000000000006</v>
      </c>
      <c r="G12" s="91" t="s">
        <v>251</v>
      </c>
      <c r="H12" s="92">
        <v>2</v>
      </c>
      <c r="I12" s="93">
        <v>1000000</v>
      </c>
      <c r="J12" s="130">
        <v>8</v>
      </c>
      <c r="K12" s="95">
        <v>8000000</v>
      </c>
      <c r="L12" s="94">
        <v>16</v>
      </c>
      <c r="M12" s="131"/>
      <c r="N12" s="132">
        <v>0</v>
      </c>
      <c r="O12" s="133">
        <v>498400</v>
      </c>
      <c r="P12" s="134">
        <v>0.33229999999999998</v>
      </c>
      <c r="Q12" s="133">
        <v>996800</v>
      </c>
      <c r="R12" s="101">
        <v>0.113118089702373</v>
      </c>
      <c r="S12" s="70"/>
      <c r="T12" s="135">
        <v>1.819955</v>
      </c>
      <c r="U12" s="136">
        <v>1.28668645590176E-2</v>
      </c>
      <c r="V12" s="136">
        <v>0.10025122514335499</v>
      </c>
      <c r="W12" s="70"/>
      <c r="X12" s="82"/>
      <c r="Y12" s="70"/>
    </row>
    <row r="13" spans="1:25">
      <c r="A13" s="82"/>
      <c r="B13" s="485"/>
      <c r="C13" s="489"/>
      <c r="D13" s="485"/>
      <c r="E13" s="129" t="s">
        <v>257</v>
      </c>
      <c r="F13" s="90">
        <v>0.27960000000000002</v>
      </c>
      <c r="G13" s="91" t="s">
        <v>251</v>
      </c>
      <c r="H13" s="92">
        <v>1</v>
      </c>
      <c r="I13" s="93">
        <v>1000000</v>
      </c>
      <c r="J13" s="130">
        <v>16</v>
      </c>
      <c r="K13" s="95">
        <v>16000000</v>
      </c>
      <c r="L13" s="94">
        <v>16</v>
      </c>
      <c r="M13" s="131"/>
      <c r="N13" s="132">
        <v>0</v>
      </c>
      <c r="O13" s="133">
        <v>199500</v>
      </c>
      <c r="P13" s="134">
        <v>0.13300000000000001</v>
      </c>
      <c r="Q13" s="133">
        <v>199500</v>
      </c>
      <c r="R13" s="101">
        <v>2.2639505312623799E-2</v>
      </c>
      <c r="S13" s="70"/>
      <c r="T13" s="135">
        <v>1.7780929999999999</v>
      </c>
      <c r="U13" s="136">
        <v>2.5159466199899498E-3</v>
      </c>
      <c r="V13" s="136">
        <v>2.0123558692633801E-2</v>
      </c>
      <c r="W13" s="70"/>
      <c r="X13" s="82"/>
      <c r="Y13" s="70"/>
    </row>
    <row r="14" spans="1:25">
      <c r="A14" s="82"/>
      <c r="B14" s="485"/>
      <c r="C14" s="489"/>
      <c r="D14" s="485"/>
      <c r="E14" s="129" t="s">
        <v>258</v>
      </c>
      <c r="F14" s="90">
        <v>0.31869999999999998</v>
      </c>
      <c r="G14" s="91" t="s">
        <v>251</v>
      </c>
      <c r="H14" s="92">
        <v>1</v>
      </c>
      <c r="I14" s="93">
        <v>1000000</v>
      </c>
      <c r="J14" s="130">
        <v>16</v>
      </c>
      <c r="K14" s="95">
        <v>16000000</v>
      </c>
      <c r="L14" s="94">
        <v>16</v>
      </c>
      <c r="M14" s="131"/>
      <c r="N14" s="132">
        <v>0</v>
      </c>
      <c r="O14" s="133">
        <v>120000</v>
      </c>
      <c r="P14" s="134">
        <v>0.08</v>
      </c>
      <c r="Q14" s="133">
        <v>120000</v>
      </c>
      <c r="R14" s="101">
        <v>1.3617747556465399E-2</v>
      </c>
      <c r="S14" s="70"/>
      <c r="T14" s="135">
        <v>1.801647</v>
      </c>
      <c r="U14" s="136">
        <v>1.53339837699145E-3</v>
      </c>
      <c r="V14" s="136">
        <v>1.2084349179473999E-2</v>
      </c>
      <c r="W14" s="70"/>
      <c r="X14" s="82"/>
      <c r="Y14" s="70"/>
    </row>
    <row r="15" spans="1:25">
      <c r="A15" s="82"/>
      <c r="B15" s="485"/>
      <c r="C15" s="489"/>
      <c r="D15" s="485"/>
      <c r="E15" s="129" t="s">
        <v>190</v>
      </c>
      <c r="F15" s="90">
        <v>0.30430000000000001</v>
      </c>
      <c r="G15" s="91" t="s">
        <v>251</v>
      </c>
      <c r="H15" s="92">
        <v>1</v>
      </c>
      <c r="I15" s="93">
        <v>1000000</v>
      </c>
      <c r="J15" s="130">
        <v>16</v>
      </c>
      <c r="K15" s="95">
        <v>16000000</v>
      </c>
      <c r="L15" s="94">
        <v>16</v>
      </c>
      <c r="M15" s="131"/>
      <c r="N15" s="132">
        <v>0</v>
      </c>
      <c r="O15" s="133">
        <v>234500</v>
      </c>
      <c r="P15" s="134">
        <v>0.15633333333333299</v>
      </c>
      <c r="Q15" s="133">
        <v>234500</v>
      </c>
      <c r="R15" s="101">
        <v>2.6611348349926199E-2</v>
      </c>
      <c r="S15" s="70"/>
      <c r="T15" s="135">
        <v>1.9046559999999999</v>
      </c>
      <c r="U15" s="136">
        <v>3.1678415189235602E-3</v>
      </c>
      <c r="V15" s="136">
        <v>2.3443506831002599E-2</v>
      </c>
      <c r="W15" s="70"/>
      <c r="X15" s="82"/>
      <c r="Y15" s="70"/>
    </row>
    <row r="16" spans="1:25">
      <c r="A16" s="70"/>
      <c r="B16" s="485"/>
      <c r="C16" s="107"/>
      <c r="D16" s="107"/>
      <c r="E16" s="108"/>
      <c r="F16" s="108"/>
      <c r="G16" s="109"/>
      <c r="H16" s="109"/>
      <c r="I16" s="109"/>
      <c r="J16" s="109"/>
      <c r="K16" s="109"/>
      <c r="L16" s="493" t="s">
        <v>253</v>
      </c>
      <c r="M16" s="493"/>
      <c r="N16" s="493"/>
      <c r="O16" s="493"/>
      <c r="P16" s="494"/>
      <c r="Q16" s="110">
        <v>1550800</v>
      </c>
      <c r="R16" s="111">
        <v>0.17598669092138799</v>
      </c>
      <c r="S16" s="112"/>
      <c r="T16" s="113"/>
      <c r="U16" s="113">
        <v>2.0084051074922601E-2</v>
      </c>
      <c r="V16" s="113">
        <v>0.15590263984646599</v>
      </c>
      <c r="W16" s="154">
        <f>V16*8.81203*1000000</f>
        <v>1373818.7394062537</v>
      </c>
      <c r="X16" s="70"/>
      <c r="Y16" s="70"/>
    </row>
    <row r="17" spans="2:24">
      <c r="B17" s="485"/>
      <c r="C17" s="137"/>
      <c r="D17" s="137"/>
      <c r="E17" s="138"/>
      <c r="F17" s="138"/>
      <c r="G17" s="137"/>
      <c r="H17" s="137"/>
      <c r="I17" s="137"/>
      <c r="J17" s="137"/>
      <c r="K17" s="137"/>
      <c r="L17" s="482" t="s">
        <v>254</v>
      </c>
      <c r="M17" s="483"/>
      <c r="N17" s="483"/>
      <c r="O17" s="483"/>
      <c r="P17" s="484"/>
      <c r="Q17" s="139">
        <v>1550800</v>
      </c>
      <c r="R17" s="123">
        <v>0.17598669092138799</v>
      </c>
      <c r="S17" s="123"/>
      <c r="T17" s="140"/>
      <c r="U17" s="141">
        <v>2.0084051074922601E-2</v>
      </c>
      <c r="V17" s="141">
        <v>0.15590263984646599</v>
      </c>
      <c r="W17" s="123"/>
      <c r="X17" s="123"/>
    </row>
    <row r="18" spans="2:24">
      <c r="B18" s="70"/>
      <c r="C18" s="70"/>
      <c r="D18" s="70"/>
      <c r="E18" s="142"/>
      <c r="F18" s="142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spans="2:24">
      <c r="B19" s="485" t="s">
        <v>15</v>
      </c>
      <c r="C19" s="490" t="s">
        <v>0</v>
      </c>
      <c r="D19" s="492" t="s">
        <v>76</v>
      </c>
      <c r="E19" s="143" t="s">
        <v>259</v>
      </c>
      <c r="F19" s="143"/>
      <c r="G19" s="91" t="s">
        <v>251</v>
      </c>
      <c r="H19" s="144">
        <v>1</v>
      </c>
      <c r="I19" s="93">
        <v>1000000</v>
      </c>
      <c r="J19" s="144">
        <v>8</v>
      </c>
      <c r="K19" s="95">
        <v>8000000</v>
      </c>
      <c r="L19" s="94">
        <v>8</v>
      </c>
      <c r="M19" s="145"/>
      <c r="N19" s="146"/>
      <c r="O19" s="147">
        <v>392000</v>
      </c>
      <c r="P19" s="148"/>
      <c r="Q19" s="147">
        <v>392000</v>
      </c>
      <c r="R19" s="101">
        <v>4.4484642017786999E-2</v>
      </c>
      <c r="S19" s="74"/>
      <c r="T19" s="149"/>
      <c r="U19" s="150"/>
      <c r="V19" s="104">
        <v>4.4484642017786999E-2</v>
      </c>
      <c r="W19" s="70"/>
      <c r="X19" s="70"/>
    </row>
    <row r="20" spans="2:24">
      <c r="B20" s="485"/>
      <c r="C20" s="490"/>
      <c r="D20" s="492"/>
      <c r="E20" s="143" t="s">
        <v>260</v>
      </c>
      <c r="F20" s="143"/>
      <c r="G20" s="91" t="s">
        <v>251</v>
      </c>
      <c r="H20" s="144">
        <v>1</v>
      </c>
      <c r="I20" s="93">
        <v>1000000</v>
      </c>
      <c r="J20" s="144">
        <v>16</v>
      </c>
      <c r="K20" s="95">
        <v>16000000</v>
      </c>
      <c r="L20" s="94">
        <v>16</v>
      </c>
      <c r="M20" s="145"/>
      <c r="N20" s="146"/>
      <c r="O20" s="147">
        <v>154000</v>
      </c>
      <c r="P20" s="148"/>
      <c r="Q20" s="147">
        <v>154000</v>
      </c>
      <c r="R20" s="101">
        <v>1.7476109364130601E-2</v>
      </c>
      <c r="S20" s="74"/>
      <c r="T20" s="149"/>
      <c r="U20" s="150"/>
      <c r="V20" s="104">
        <v>1.7476109364130601E-2</v>
      </c>
      <c r="W20" s="70"/>
      <c r="X20" s="70"/>
    </row>
    <row r="21" spans="2:24">
      <c r="B21" s="485"/>
      <c r="C21" s="107"/>
      <c r="D21" s="107"/>
      <c r="E21" s="109"/>
      <c r="F21" s="109"/>
      <c r="G21" s="109"/>
      <c r="H21" s="109"/>
      <c r="I21" s="109"/>
      <c r="J21" s="109"/>
      <c r="K21" s="109"/>
      <c r="L21" s="498" t="s">
        <v>253</v>
      </c>
      <c r="M21" s="498"/>
      <c r="N21" s="498"/>
      <c r="O21" s="498"/>
      <c r="P21" s="499"/>
      <c r="Q21" s="151">
        <v>546000</v>
      </c>
      <c r="R21" s="111">
        <v>6.19607513819177E-2</v>
      </c>
      <c r="S21" s="152"/>
      <c r="T21" s="113"/>
      <c r="U21" s="113">
        <v>0</v>
      </c>
      <c r="V21" s="113">
        <v>6.19607513819177E-2</v>
      </c>
      <c r="W21" s="154">
        <f>V21*8.81203*1000000</f>
        <v>546000.00000000023</v>
      </c>
      <c r="X21" s="70"/>
    </row>
    <row r="22" spans="2:24">
      <c r="B22" s="485"/>
      <c r="C22" s="137"/>
      <c r="D22" s="137"/>
      <c r="E22" s="138"/>
      <c r="F22" s="138"/>
      <c r="G22" s="137"/>
      <c r="H22" s="137"/>
      <c r="I22" s="137"/>
      <c r="J22" s="137"/>
      <c r="K22" s="137"/>
      <c r="L22" s="482" t="s">
        <v>254</v>
      </c>
      <c r="M22" s="483"/>
      <c r="N22" s="483"/>
      <c r="O22" s="483"/>
      <c r="P22" s="484"/>
      <c r="Q22" s="139">
        <v>546000</v>
      </c>
      <c r="R22" s="123">
        <v>6.19607513819177E-2</v>
      </c>
      <c r="S22" s="123"/>
      <c r="T22" s="140"/>
      <c r="U22" s="141">
        <v>0</v>
      </c>
      <c r="V22" s="141">
        <v>6.19607513819177E-2</v>
      </c>
      <c r="W22" s="123"/>
      <c r="X22" s="123"/>
    </row>
    <row r="23" spans="2:24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153"/>
      <c r="R23" s="70"/>
      <c r="S23" s="70"/>
      <c r="T23" s="70"/>
      <c r="U23" s="70"/>
      <c r="V23" s="70"/>
      <c r="W23" s="70"/>
      <c r="X23" s="70"/>
    </row>
  </sheetData>
  <mergeCells count="15">
    <mergeCell ref="L22:P22"/>
    <mergeCell ref="B5:B10"/>
    <mergeCell ref="B12:B17"/>
    <mergeCell ref="B19:B22"/>
    <mergeCell ref="C5:C8"/>
    <mergeCell ref="C12:C15"/>
    <mergeCell ref="C19:C20"/>
    <mergeCell ref="D5:D8"/>
    <mergeCell ref="D12:D15"/>
    <mergeCell ref="D19:D20"/>
    <mergeCell ref="L9:P9"/>
    <mergeCell ref="L10:P10"/>
    <mergeCell ref="L16:P16"/>
    <mergeCell ref="L17:P17"/>
    <mergeCell ref="L21:P2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"/>
  <sheetViews>
    <sheetView workbookViewId="0"/>
  </sheetViews>
  <sheetFormatPr defaultRowHeight="14.25"/>
  <cols>
    <col min="9" max="9" width="9.875" bestFit="1" customWidth="1"/>
    <col min="11" max="11" width="10.875" bestFit="1" customWidth="1"/>
    <col min="13" max="13" width="9.875" bestFit="1" customWidth="1"/>
    <col min="14" max="14" width="10.875" bestFit="1" customWidth="1"/>
    <col min="15" max="16" width="10.75" bestFit="1" customWidth="1"/>
    <col min="18" max="19" width="10.75" bestFit="1" customWidth="1"/>
    <col min="28" max="28" width="10.875" bestFit="1" customWidth="1"/>
    <col min="32" max="32" width="11.75" bestFit="1" customWidth="1"/>
  </cols>
  <sheetData>
    <row r="1" spans="2:35" s="156" customFormat="1" ht="89.25">
      <c r="B1" s="158" t="s">
        <v>232</v>
      </c>
      <c r="C1" s="159" t="s">
        <v>261</v>
      </c>
      <c r="D1" s="159" t="s">
        <v>233</v>
      </c>
      <c r="E1" s="160" t="s">
        <v>43</v>
      </c>
      <c r="F1" s="160" t="s">
        <v>234</v>
      </c>
      <c r="G1" s="159" t="s">
        <v>235</v>
      </c>
      <c r="H1" s="159" t="s">
        <v>236</v>
      </c>
      <c r="I1" s="159" t="s">
        <v>237</v>
      </c>
      <c r="J1" s="159" t="s">
        <v>238</v>
      </c>
      <c r="K1" s="159" t="s">
        <v>239</v>
      </c>
      <c r="L1" s="159" t="s">
        <v>240</v>
      </c>
      <c r="M1" s="159" t="s">
        <v>241</v>
      </c>
      <c r="N1" s="159" t="s">
        <v>242</v>
      </c>
      <c r="O1" s="161" t="s">
        <v>262</v>
      </c>
      <c r="P1" s="161" t="s">
        <v>263</v>
      </c>
      <c r="Q1" s="161" t="s">
        <v>264</v>
      </c>
      <c r="R1" s="161" t="s">
        <v>245</v>
      </c>
      <c r="S1" s="161" t="s">
        <v>265</v>
      </c>
      <c r="T1" s="161" t="s">
        <v>266</v>
      </c>
      <c r="U1" s="161" t="s">
        <v>267</v>
      </c>
      <c r="V1" s="159" t="s">
        <v>246</v>
      </c>
      <c r="W1" s="162"/>
      <c r="X1" s="161" t="s">
        <v>247</v>
      </c>
      <c r="Y1" s="158" t="s">
        <v>248</v>
      </c>
      <c r="Z1" s="163" t="s">
        <v>249</v>
      </c>
      <c r="AA1" s="164" t="s">
        <v>268</v>
      </c>
      <c r="AB1" s="165" t="s">
        <v>269</v>
      </c>
      <c r="AC1" s="165" t="s">
        <v>270</v>
      </c>
      <c r="AD1" s="165" t="s">
        <v>271</v>
      </c>
      <c r="AF1" s="156" t="s">
        <v>272</v>
      </c>
      <c r="AG1" s="165" t="s">
        <v>273</v>
      </c>
      <c r="AH1" s="165" t="s">
        <v>271</v>
      </c>
    </row>
    <row r="2" spans="2:35" s="157" customFormat="1" ht="12.75" customHeight="1">
      <c r="B2" s="157" t="s">
        <v>274</v>
      </c>
      <c r="C2" s="500" t="s">
        <v>0</v>
      </c>
      <c r="D2" s="502" t="s">
        <v>76</v>
      </c>
      <c r="E2" s="166" t="s">
        <v>275</v>
      </c>
      <c r="F2" s="167">
        <v>0.21944174218750001</v>
      </c>
      <c r="G2" s="168"/>
      <c r="H2" s="169">
        <v>8</v>
      </c>
      <c r="I2" s="170">
        <v>1000000</v>
      </c>
      <c r="J2" s="169">
        <v>32</v>
      </c>
      <c r="K2" s="171">
        <v>32000000</v>
      </c>
      <c r="L2" s="169">
        <v>256</v>
      </c>
      <c r="M2" s="171">
        <v>1760814.5454545501</v>
      </c>
      <c r="N2" s="171">
        <v>14086516.363636401</v>
      </c>
      <c r="O2" s="172">
        <v>3044000</v>
      </c>
      <c r="P2" s="172">
        <v>4566000</v>
      </c>
      <c r="Q2" s="173">
        <v>2.1265625E-2</v>
      </c>
      <c r="R2" s="172">
        <v>7610000</v>
      </c>
      <c r="S2" s="172">
        <v>3010686</v>
      </c>
      <c r="T2" s="173">
        <v>1.1760492187500001E-2</v>
      </c>
      <c r="U2" s="173">
        <v>3.3026117187500002E-2</v>
      </c>
      <c r="V2" s="174">
        <v>1.2052485068707199</v>
      </c>
      <c r="X2" s="175">
        <v>62.835318999999998</v>
      </c>
      <c r="Y2" s="174">
        <v>0.23549699771879401</v>
      </c>
      <c r="Z2" s="176">
        <v>0.96975150915192598</v>
      </c>
      <c r="AA2" s="177">
        <v>0.66743007146700795</v>
      </c>
      <c r="AB2" s="178">
        <v>37537885</v>
      </c>
      <c r="AC2" s="179">
        <v>25.0539132682703</v>
      </c>
      <c r="AD2" s="180">
        <v>0.87585334089746503</v>
      </c>
      <c r="AF2" s="181">
        <v>170676728</v>
      </c>
      <c r="AG2" s="179">
        <v>113.914780766795</v>
      </c>
      <c r="AH2" s="180">
        <v>0.54281663727875396</v>
      </c>
      <c r="AI2" s="182"/>
    </row>
    <row r="3" spans="2:35" s="157" customFormat="1" ht="12.75" customHeight="1">
      <c r="C3" s="501"/>
      <c r="D3" s="503"/>
      <c r="E3" s="166" t="s">
        <v>215</v>
      </c>
      <c r="F3" s="167">
        <v>7.4871387499999997E-2</v>
      </c>
      <c r="G3" s="168"/>
      <c r="H3" s="169">
        <v>5</v>
      </c>
      <c r="I3" s="170">
        <v>1000000</v>
      </c>
      <c r="J3" s="169">
        <v>48</v>
      </c>
      <c r="K3" s="171">
        <v>48000000</v>
      </c>
      <c r="L3" s="169">
        <v>240</v>
      </c>
      <c r="M3" s="171">
        <v>3036513.1034482801</v>
      </c>
      <c r="N3" s="171">
        <v>15182565.5172414</v>
      </c>
      <c r="O3" s="172">
        <v>1562000</v>
      </c>
      <c r="P3" s="172">
        <v>2343000</v>
      </c>
      <c r="Q3" s="173">
        <v>1.62708333333333E-2</v>
      </c>
      <c r="R3" s="172">
        <v>3905000</v>
      </c>
      <c r="S3" s="172">
        <v>1992133</v>
      </c>
      <c r="T3" s="173">
        <v>8.30055416666667E-3</v>
      </c>
      <c r="U3" s="173">
        <v>2.45713875E-2</v>
      </c>
      <c r="V3" s="174">
        <v>0.66921390417418003</v>
      </c>
      <c r="X3" s="175">
        <v>70.016401999999999</v>
      </c>
      <c r="Y3" s="174">
        <v>0.195233123911037</v>
      </c>
      <c r="Z3" s="176">
        <v>0.473980780263143</v>
      </c>
      <c r="AA3" s="177">
        <v>0.63943161634102996</v>
      </c>
      <c r="AB3" s="178">
        <v>37537885</v>
      </c>
      <c r="AC3" s="179">
        <v>24.0029104795737</v>
      </c>
      <c r="AD3" s="180">
        <v>0.40705127428989801</v>
      </c>
      <c r="AF3" s="181">
        <v>170676728</v>
      </c>
      <c r="AG3" s="179">
        <v>109.136096056838</v>
      </c>
      <c r="AH3" s="180">
        <v>0.169666643060955</v>
      </c>
      <c r="AI3" s="182"/>
    </row>
    <row r="4" spans="2:35" s="157" customFormat="1" ht="12.75" customHeight="1">
      <c r="C4" s="501"/>
      <c r="D4" s="503"/>
      <c r="E4" s="166" t="s">
        <v>162</v>
      </c>
      <c r="F4" s="167">
        <v>8.68762166666667E-2</v>
      </c>
      <c r="G4" s="168"/>
      <c r="H4" s="169">
        <v>5</v>
      </c>
      <c r="I4" s="170">
        <v>1000000</v>
      </c>
      <c r="J4" s="169">
        <v>48</v>
      </c>
      <c r="K4" s="171">
        <v>48000000</v>
      </c>
      <c r="L4" s="169">
        <v>240</v>
      </c>
      <c r="M4" s="171">
        <v>3036513.1034482801</v>
      </c>
      <c r="N4" s="171">
        <v>15182565.5172414</v>
      </c>
      <c r="O4" s="172">
        <v>1522000</v>
      </c>
      <c r="P4" s="172">
        <v>2283000</v>
      </c>
      <c r="Q4" s="173">
        <v>1.58541666666667E-2</v>
      </c>
      <c r="R4" s="172">
        <v>3805000</v>
      </c>
      <c r="S4" s="172">
        <v>1997292</v>
      </c>
      <c r="T4" s="173">
        <v>8.3220499999999992E-3</v>
      </c>
      <c r="U4" s="173">
        <v>2.4176216666666701E-2</v>
      </c>
      <c r="V4" s="174">
        <v>0.65845123087415702</v>
      </c>
      <c r="X4" s="175">
        <v>67.756299999999996</v>
      </c>
      <c r="Y4" s="174">
        <v>0.18589257972699499</v>
      </c>
      <c r="Z4" s="176">
        <v>0.472558651147162</v>
      </c>
      <c r="AA4" s="177">
        <v>0.65288466404019196</v>
      </c>
      <c r="AB4" s="178">
        <v>37537885</v>
      </c>
      <c r="AC4" s="179">
        <v>24.5079094370044</v>
      </c>
      <c r="AD4" s="180">
        <v>0.40532005475154598</v>
      </c>
      <c r="AF4" s="181">
        <v>170676728</v>
      </c>
      <c r="AG4" s="179">
        <v>111.43221821975899</v>
      </c>
      <c r="AH4" s="180">
        <v>0.16683914595617</v>
      </c>
      <c r="AI4" s="182"/>
    </row>
  </sheetData>
  <mergeCells count="2">
    <mergeCell ref="C2:C4"/>
    <mergeCell ref="D2:D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6"/>
  <sheetViews>
    <sheetView workbookViewId="0">
      <selection activeCell="D16" sqref="D16"/>
    </sheetView>
  </sheetViews>
  <sheetFormatPr defaultRowHeight="14.25"/>
  <cols>
    <col min="3" max="3" width="29.875" customWidth="1"/>
    <col min="4" max="4" width="22.875" customWidth="1"/>
    <col min="5" max="5" width="35.25" customWidth="1"/>
    <col min="12" max="12" width="21.625" bestFit="1" customWidth="1"/>
  </cols>
  <sheetData>
    <row r="2" spans="3:12">
      <c r="E2" t="s">
        <v>276</v>
      </c>
    </row>
    <row r="3" spans="3:12">
      <c r="C3" t="s">
        <v>277</v>
      </c>
      <c r="D3" t="s">
        <v>278</v>
      </c>
      <c r="E3" t="s">
        <v>279</v>
      </c>
      <c r="F3" t="s">
        <v>280</v>
      </c>
      <c r="G3" t="s">
        <v>281</v>
      </c>
      <c r="H3" t="s">
        <v>282</v>
      </c>
      <c r="I3" t="s">
        <v>283</v>
      </c>
      <c r="J3" t="s">
        <v>284</v>
      </c>
      <c r="K3" t="s">
        <v>285</v>
      </c>
      <c r="L3" t="s">
        <v>286</v>
      </c>
    </row>
    <row r="6" spans="3:12" ht="15" thickBot="1"/>
    <row r="7" spans="3:12" ht="26.25" thickBot="1">
      <c r="C7" s="64" t="s">
        <v>234</v>
      </c>
      <c r="D7" s="65" t="s">
        <v>264</v>
      </c>
      <c r="E7" s="65" t="s">
        <v>287</v>
      </c>
    </row>
    <row r="8" spans="3:12" ht="15" thickBot="1">
      <c r="C8" s="66" t="e" cm="1">
        <f t="array" aca="1" ref="C8" ca="1">￥0.2194 –(0.1839-0.1802)= ￥0.2158</f>
        <v>#NAME?</v>
      </c>
      <c r="D8" s="67" t="s">
        <v>288</v>
      </c>
      <c r="E8" s="67" t="s">
        <v>289</v>
      </c>
    </row>
    <row r="9" spans="3:12" ht="15" thickBot="1">
      <c r="C9" s="68" t="s">
        <v>290</v>
      </c>
      <c r="D9" s="69" t="s">
        <v>291</v>
      </c>
      <c r="E9" s="69" t="s">
        <v>292</v>
      </c>
    </row>
    <row r="10" spans="3:12" ht="15" thickBot="1">
      <c r="C10" s="68" t="s">
        <v>293</v>
      </c>
      <c r="D10" s="69" t="s">
        <v>294</v>
      </c>
      <c r="E10" s="69" t="s">
        <v>292</v>
      </c>
    </row>
    <row r="12" spans="3:12" ht="15" thickBot="1"/>
    <row r="13" spans="3:12" ht="26.25" thickBot="1">
      <c r="C13" s="64" t="s">
        <v>234</v>
      </c>
      <c r="D13" s="65" t="s">
        <v>264</v>
      </c>
      <c r="E13" s="65" t="s">
        <v>287</v>
      </c>
    </row>
    <row r="14" spans="3:12" ht="15" thickBot="1">
      <c r="C14" s="66" t="e" cm="1">
        <f t="array" aca="1" ref="C14" ca="1">￥0.2194 –(0.1839-0.1802)= ￥0.2158</f>
        <v>#NAME?</v>
      </c>
      <c r="D14" s="67" t="s">
        <v>288</v>
      </c>
      <c r="E14" s="67" t="s">
        <v>289</v>
      </c>
    </row>
    <row r="15" spans="3:12" ht="15" thickBot="1">
      <c r="C15" s="68" t="s">
        <v>290</v>
      </c>
      <c r="D15" s="69" t="s">
        <v>291</v>
      </c>
      <c r="E15" s="69" t="s">
        <v>292</v>
      </c>
    </row>
    <row r="16" spans="3:12" ht="15" thickBot="1">
      <c r="C16" s="68" t="s">
        <v>293</v>
      </c>
      <c r="D16" s="69" t="s">
        <v>294</v>
      </c>
      <c r="E16" s="69" t="s">
        <v>292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1463"/>
  <sheetViews>
    <sheetView tabSelected="1" zoomScale="81" zoomScaleNormal="81" workbookViewId="0">
      <pane xSplit="4" ySplit="5" topLeftCell="E6" activePane="bottomRight" state="frozen"/>
      <selection pane="topRight" activeCell="F1" sqref="F1"/>
      <selection pane="bottomLeft" activeCell="A6" sqref="A6"/>
      <selection pane="bottomRight" sqref="A1:A1048576"/>
    </sheetView>
  </sheetViews>
  <sheetFormatPr defaultColWidth="8.75" defaultRowHeight="14.25"/>
  <cols>
    <col min="1" max="1" width="33.25" style="41" customWidth="1"/>
    <col min="2" max="2" width="16.375" style="1" customWidth="1"/>
    <col min="3" max="3" width="21" style="42" customWidth="1"/>
    <col min="4" max="4" width="19.375" style="42" customWidth="1"/>
    <col min="5" max="5" width="10.25" style="42" customWidth="1"/>
    <col min="6" max="6" width="11.875" style="8" customWidth="1"/>
    <col min="7" max="7" width="9.625" style="8" customWidth="1"/>
    <col min="8" max="8" width="10.75" style="8" customWidth="1"/>
    <col min="9" max="9" width="15.75" style="234" customWidth="1"/>
    <col min="10" max="10" width="13.375" style="255" customWidth="1"/>
    <col min="11" max="11" width="25.875" style="235" customWidth="1"/>
    <col min="12" max="12" width="23.75" style="235" customWidth="1"/>
    <col min="13" max="13" width="18.625" style="235" customWidth="1"/>
    <col min="14" max="14" width="16.375" style="8" customWidth="1"/>
    <col min="15" max="15" width="16.375" style="1" customWidth="1"/>
    <col min="16" max="16" width="13.875" style="2" customWidth="1"/>
    <col min="17" max="17" width="7.25" style="3" customWidth="1"/>
    <col min="18" max="18" width="16.375" style="2" customWidth="1"/>
    <col min="19" max="19" width="18.375" customWidth="1"/>
    <col min="20" max="20" width="16.375" customWidth="1"/>
    <col min="21" max="21" width="14.375" customWidth="1"/>
    <col min="22" max="22" width="25.375" style="1" customWidth="1"/>
    <col min="23" max="23" width="15.625" style="1" customWidth="1"/>
    <col min="24" max="16384" width="8.75" style="1"/>
  </cols>
  <sheetData>
    <row r="1" spans="1:23">
      <c r="S1" s="2"/>
      <c r="T1" s="2"/>
      <c r="U1" s="2"/>
    </row>
    <row r="2" spans="1:23" ht="18">
      <c r="A2" s="241" t="s">
        <v>295</v>
      </c>
      <c r="B2" s="229" t="s">
        <v>296</v>
      </c>
      <c r="C2" s="229" t="s">
        <v>297</v>
      </c>
      <c r="D2" s="229" t="s">
        <v>298</v>
      </c>
      <c r="E2" s="229" t="s">
        <v>299</v>
      </c>
      <c r="F2" s="229"/>
      <c r="N2" s="30"/>
      <c r="S2" s="2"/>
      <c r="T2" s="2"/>
      <c r="U2" s="2"/>
    </row>
    <row r="3" spans="1:23" ht="18">
      <c r="A3" s="241" t="s">
        <v>33</v>
      </c>
      <c r="B3" s="229" t="s">
        <v>34</v>
      </c>
      <c r="C3" s="229" t="s">
        <v>35</v>
      </c>
      <c r="D3" s="229" t="s">
        <v>36</v>
      </c>
      <c r="E3" s="229" t="s">
        <v>300</v>
      </c>
      <c r="F3" s="229" t="s">
        <v>37</v>
      </c>
      <c r="N3" s="30"/>
      <c r="S3" s="2"/>
      <c r="T3" s="2"/>
      <c r="U3" s="2"/>
    </row>
    <row r="4" spans="1:23">
      <c r="I4" s="236"/>
      <c r="J4" s="256"/>
      <c r="K4" s="257" t="s">
        <v>301</v>
      </c>
      <c r="L4" s="237"/>
      <c r="M4" s="237" t="s">
        <v>302</v>
      </c>
      <c r="S4" s="2"/>
      <c r="T4" s="2"/>
      <c r="U4" s="2"/>
    </row>
    <row r="5" spans="1:23" ht="21" customHeight="1">
      <c r="A5" s="4" t="s">
        <v>2</v>
      </c>
      <c r="B5" s="230" t="s">
        <v>42</v>
      </c>
      <c r="C5" s="4" t="s">
        <v>43</v>
      </c>
      <c r="D5" s="4" t="s">
        <v>44</v>
      </c>
      <c r="E5" s="4" t="s">
        <v>45</v>
      </c>
      <c r="F5" s="9" t="s">
        <v>48</v>
      </c>
      <c r="G5" s="9" t="s">
        <v>49</v>
      </c>
      <c r="H5" s="339" t="s">
        <v>303</v>
      </c>
      <c r="I5" s="238" t="s">
        <v>50</v>
      </c>
      <c r="J5" s="227" t="s">
        <v>304</v>
      </c>
      <c r="K5" s="239" t="s">
        <v>305</v>
      </c>
      <c r="L5" s="239" t="s">
        <v>306</v>
      </c>
      <c r="M5" s="239" t="s">
        <v>307</v>
      </c>
      <c r="N5" s="9" t="s">
        <v>295</v>
      </c>
      <c r="O5" s="45" t="s">
        <v>308</v>
      </c>
      <c r="P5" s="5" t="s">
        <v>309</v>
      </c>
      <c r="Q5" s="4" t="s">
        <v>310</v>
      </c>
      <c r="R5" s="5" t="s">
        <v>311</v>
      </c>
      <c r="S5" s="5" t="s">
        <v>312</v>
      </c>
      <c r="T5" s="5" t="s">
        <v>313</v>
      </c>
      <c r="U5" s="5" t="s">
        <v>314</v>
      </c>
      <c r="V5" s="4" t="s">
        <v>71</v>
      </c>
    </row>
    <row r="6" spans="1:23" s="301" customFormat="1" ht="14.45" customHeight="1">
      <c r="A6" s="272" t="s">
        <v>113</v>
      </c>
      <c r="B6" s="22" t="str">
        <f>VLOOKUP(A6,[1]Sheet1!$A:$B,2,0)</f>
        <v>MODI</v>
      </c>
      <c r="C6" s="32" t="s">
        <v>114</v>
      </c>
      <c r="D6" s="44">
        <v>130040670023899</v>
      </c>
      <c r="E6" s="22" t="s">
        <v>74</v>
      </c>
      <c r="F6" s="22">
        <v>2024</v>
      </c>
      <c r="G6" s="22">
        <v>1</v>
      </c>
      <c r="H6" s="22" t="s">
        <v>315</v>
      </c>
      <c r="I6" s="258">
        <v>45608</v>
      </c>
      <c r="J6" s="262">
        <v>2</v>
      </c>
      <c r="K6" s="259"/>
      <c r="L6" s="259">
        <f>K6*Q6</f>
        <v>0</v>
      </c>
      <c r="M6" s="259">
        <v>50000</v>
      </c>
      <c r="N6" s="22" t="s">
        <v>297</v>
      </c>
      <c r="O6" s="258">
        <v>45294</v>
      </c>
      <c r="P6" s="273">
        <v>16106</v>
      </c>
      <c r="Q6" s="22">
        <v>1</v>
      </c>
      <c r="R6" s="425">
        <f t="shared" ref="R6:R59" si="0">P6*Q6</f>
        <v>16106</v>
      </c>
      <c r="S6" s="22" t="s">
        <v>316</v>
      </c>
      <c r="T6" s="22" t="s">
        <v>317</v>
      </c>
      <c r="U6" s="22" t="s">
        <v>318</v>
      </c>
      <c r="V6" s="22"/>
      <c r="W6" s="428"/>
    </row>
    <row r="7" spans="1:23" s="301" customFormat="1" ht="14.45" customHeight="1">
      <c r="A7" s="272" t="s">
        <v>130</v>
      </c>
      <c r="B7" s="22" t="str">
        <f>VLOOKUP(A7,[1]Sheet1!$A:$B,2,0)</f>
        <v>MODI</v>
      </c>
      <c r="C7" s="32" t="s">
        <v>114</v>
      </c>
      <c r="D7" s="44">
        <v>130040670023440</v>
      </c>
      <c r="E7" s="22" t="s">
        <v>74</v>
      </c>
      <c r="F7" s="22">
        <v>2024</v>
      </c>
      <c r="G7" s="22">
        <v>1</v>
      </c>
      <c r="H7" s="22" t="s">
        <v>315</v>
      </c>
      <c r="I7" s="258">
        <v>45608</v>
      </c>
      <c r="J7" s="262">
        <v>2</v>
      </c>
      <c r="K7" s="259"/>
      <c r="L7" s="259">
        <f t="shared" ref="L7:L60" si="1">K7*Q7</f>
        <v>0</v>
      </c>
      <c r="M7" s="259">
        <v>50000</v>
      </c>
      <c r="N7" s="22" t="s">
        <v>297</v>
      </c>
      <c r="O7" s="258">
        <v>45294</v>
      </c>
      <c r="P7" s="273">
        <v>16106</v>
      </c>
      <c r="Q7" s="22">
        <v>1</v>
      </c>
      <c r="R7" s="425">
        <f t="shared" si="0"/>
        <v>16106</v>
      </c>
      <c r="S7" s="22" t="s">
        <v>316</v>
      </c>
      <c r="T7" s="22" t="s">
        <v>317</v>
      </c>
      <c r="U7" s="22" t="s">
        <v>318</v>
      </c>
      <c r="V7" s="22"/>
      <c r="W7" s="428"/>
    </row>
    <row r="8" spans="1:23" s="301" customFormat="1" ht="14.45" customHeight="1">
      <c r="A8" s="304" t="s">
        <v>319</v>
      </c>
      <c r="B8" s="22" t="str">
        <f>VLOOKUP(A8,[1]Sheet1!$A:$B,2,0)</f>
        <v>MODI</v>
      </c>
      <c r="C8" s="32" t="s">
        <v>320</v>
      </c>
      <c r="D8" s="44">
        <v>130040670023602</v>
      </c>
      <c r="E8" s="22" t="s">
        <v>74</v>
      </c>
      <c r="F8" s="22">
        <v>2024</v>
      </c>
      <c r="G8" s="22">
        <v>1</v>
      </c>
      <c r="H8" s="22" t="s">
        <v>315</v>
      </c>
      <c r="I8" s="258">
        <v>45608</v>
      </c>
      <c r="J8" s="262">
        <v>2</v>
      </c>
      <c r="K8" s="259"/>
      <c r="L8" s="259">
        <f t="shared" si="1"/>
        <v>0</v>
      </c>
      <c r="M8" s="259">
        <v>50000</v>
      </c>
      <c r="N8" s="22" t="s">
        <v>297</v>
      </c>
      <c r="O8" s="258">
        <v>45295</v>
      </c>
      <c r="P8" s="273">
        <v>10619.469026548701</v>
      </c>
      <c r="Q8" s="22">
        <v>1</v>
      </c>
      <c r="R8" s="425">
        <f t="shared" si="0"/>
        <v>10619.469026548701</v>
      </c>
      <c r="S8" s="22" t="s">
        <v>316</v>
      </c>
      <c r="T8" s="22" t="s">
        <v>317</v>
      </c>
      <c r="U8" s="22" t="s">
        <v>318</v>
      </c>
      <c r="V8" s="22"/>
      <c r="W8" s="428"/>
    </row>
    <row r="9" spans="1:23" s="301" customFormat="1" ht="14.45" customHeight="1">
      <c r="A9" s="304" t="s">
        <v>319</v>
      </c>
      <c r="B9" s="22" t="str">
        <f>VLOOKUP(A9,[1]Sheet1!$A:$B,2,0)</f>
        <v>MODI</v>
      </c>
      <c r="C9" s="32" t="s">
        <v>321</v>
      </c>
      <c r="D9" s="44">
        <v>130040670023601</v>
      </c>
      <c r="E9" s="22" t="s">
        <v>74</v>
      </c>
      <c r="F9" s="22">
        <v>2024</v>
      </c>
      <c r="G9" s="22">
        <v>1</v>
      </c>
      <c r="H9" s="22" t="s">
        <v>315</v>
      </c>
      <c r="I9" s="258">
        <v>45608</v>
      </c>
      <c r="J9" s="262">
        <v>2</v>
      </c>
      <c r="K9" s="259"/>
      <c r="L9" s="259">
        <f t="shared" si="1"/>
        <v>0</v>
      </c>
      <c r="M9" s="259">
        <v>50000</v>
      </c>
      <c r="N9" s="22" t="s">
        <v>297</v>
      </c>
      <c r="O9" s="258">
        <v>45295</v>
      </c>
      <c r="P9" s="273">
        <v>10000</v>
      </c>
      <c r="Q9" s="22">
        <v>1</v>
      </c>
      <c r="R9" s="425">
        <f t="shared" si="0"/>
        <v>10000</v>
      </c>
      <c r="S9" s="22" t="s">
        <v>316</v>
      </c>
      <c r="T9" s="22" t="s">
        <v>317</v>
      </c>
      <c r="U9" s="22" t="s">
        <v>318</v>
      </c>
      <c r="V9" s="22"/>
      <c r="W9" s="428"/>
    </row>
    <row r="10" spans="1:23" s="301" customFormat="1" ht="14.45" customHeight="1">
      <c r="A10" s="272" t="s">
        <v>106</v>
      </c>
      <c r="B10" s="22" t="str">
        <f>VLOOKUP(A10,[1]Sheet1!$A:$B,2,0)</f>
        <v>MODI</v>
      </c>
      <c r="C10" s="32" t="s">
        <v>100</v>
      </c>
      <c r="D10" s="44">
        <v>130040670018928</v>
      </c>
      <c r="E10" s="22" t="s">
        <v>74</v>
      </c>
      <c r="F10" s="22">
        <v>2024</v>
      </c>
      <c r="G10" s="22">
        <v>1</v>
      </c>
      <c r="H10" s="22" t="s">
        <v>322</v>
      </c>
      <c r="I10" s="258">
        <v>45608</v>
      </c>
      <c r="J10" s="262">
        <v>16</v>
      </c>
      <c r="K10" s="259">
        <v>1067040</v>
      </c>
      <c r="L10" s="259">
        <f t="shared" si="1"/>
        <v>1067040</v>
      </c>
      <c r="M10" s="259">
        <v>1000000</v>
      </c>
      <c r="N10" s="22" t="s">
        <v>299</v>
      </c>
      <c r="O10" s="258">
        <v>45295</v>
      </c>
      <c r="P10" s="273">
        <v>8442.4778761062007</v>
      </c>
      <c r="Q10" s="22">
        <v>1</v>
      </c>
      <c r="R10" s="425">
        <f t="shared" si="0"/>
        <v>8442.4778761062007</v>
      </c>
      <c r="S10" s="22" t="s">
        <v>316</v>
      </c>
      <c r="T10" s="22" t="s">
        <v>317</v>
      </c>
      <c r="U10" s="22" t="s">
        <v>318</v>
      </c>
      <c r="V10" s="22"/>
      <c r="W10" s="428"/>
    </row>
    <row r="11" spans="1:23" s="301" customFormat="1" ht="14.45" customHeight="1">
      <c r="A11" s="304" t="s">
        <v>319</v>
      </c>
      <c r="B11" s="22" t="str">
        <f>VLOOKUP(A11,[1]Sheet1!$A:$B,2,0)</f>
        <v>MODI</v>
      </c>
      <c r="C11" s="32" t="s">
        <v>320</v>
      </c>
      <c r="D11" s="44">
        <v>130040670023602</v>
      </c>
      <c r="E11" s="22" t="s">
        <v>74</v>
      </c>
      <c r="F11" s="22">
        <v>2024</v>
      </c>
      <c r="G11" s="22">
        <v>1</v>
      </c>
      <c r="H11" s="22" t="s">
        <v>315</v>
      </c>
      <c r="I11" s="258">
        <v>45608</v>
      </c>
      <c r="J11" s="262">
        <v>2</v>
      </c>
      <c r="K11" s="259"/>
      <c r="L11" s="259">
        <f t="shared" si="1"/>
        <v>0</v>
      </c>
      <c r="M11" s="259">
        <v>50000</v>
      </c>
      <c r="N11" s="22" t="s">
        <v>297</v>
      </c>
      <c r="O11" s="258">
        <v>45295</v>
      </c>
      <c r="P11" s="273">
        <v>6194.6902654867299</v>
      </c>
      <c r="Q11" s="22">
        <v>1</v>
      </c>
      <c r="R11" s="425">
        <f t="shared" si="0"/>
        <v>6194.6902654867299</v>
      </c>
      <c r="S11" s="22" t="s">
        <v>316</v>
      </c>
      <c r="T11" s="22" t="s">
        <v>317</v>
      </c>
      <c r="U11" s="22" t="s">
        <v>318</v>
      </c>
      <c r="V11" s="22"/>
      <c r="W11" s="428"/>
    </row>
    <row r="12" spans="1:23" s="301" customFormat="1" ht="14.45" customHeight="1">
      <c r="A12" s="272" t="s">
        <v>130</v>
      </c>
      <c r="B12" s="22" t="str">
        <f>VLOOKUP(A12,[1]Sheet1!$A:$B,2,0)</f>
        <v>MODI</v>
      </c>
      <c r="C12" s="32" t="s">
        <v>114</v>
      </c>
      <c r="D12" s="44">
        <v>130040670023440</v>
      </c>
      <c r="E12" s="22" t="s">
        <v>74</v>
      </c>
      <c r="F12" s="22">
        <v>2024</v>
      </c>
      <c r="G12" s="22">
        <v>1</v>
      </c>
      <c r="H12" s="22" t="s">
        <v>315</v>
      </c>
      <c r="I12" s="258">
        <v>45608</v>
      </c>
      <c r="J12" s="262">
        <v>2</v>
      </c>
      <c r="K12" s="259"/>
      <c r="L12" s="259">
        <f t="shared" si="1"/>
        <v>0</v>
      </c>
      <c r="M12" s="259">
        <v>50000</v>
      </c>
      <c r="N12" s="22" t="s">
        <v>297</v>
      </c>
      <c r="O12" s="258">
        <v>45298</v>
      </c>
      <c r="P12" s="273">
        <v>8053.09734513274</v>
      </c>
      <c r="Q12" s="22">
        <v>1</v>
      </c>
      <c r="R12" s="425">
        <f t="shared" si="0"/>
        <v>8053.09734513274</v>
      </c>
      <c r="S12" s="22" t="s">
        <v>316</v>
      </c>
      <c r="T12" s="22" t="s">
        <v>317</v>
      </c>
      <c r="U12" s="22" t="s">
        <v>318</v>
      </c>
      <c r="V12" s="22"/>
      <c r="W12" s="428"/>
    </row>
    <row r="13" spans="1:23" s="301" customFormat="1" ht="14.45" customHeight="1">
      <c r="A13" s="272" t="s">
        <v>130</v>
      </c>
      <c r="B13" s="22" t="str">
        <f>VLOOKUP(A13,[1]Sheet1!$A:$B,2,0)</f>
        <v>MODI</v>
      </c>
      <c r="C13" s="32" t="s">
        <v>100</v>
      </c>
      <c r="D13" s="44">
        <v>130040670023444</v>
      </c>
      <c r="E13" s="22" t="s">
        <v>74</v>
      </c>
      <c r="F13" s="22">
        <v>2024</v>
      </c>
      <c r="G13" s="22">
        <v>1</v>
      </c>
      <c r="H13" s="22" t="s">
        <v>315</v>
      </c>
      <c r="I13" s="258">
        <v>45608</v>
      </c>
      <c r="J13" s="262">
        <v>2</v>
      </c>
      <c r="K13" s="259"/>
      <c r="L13" s="259">
        <f t="shared" si="1"/>
        <v>0</v>
      </c>
      <c r="M13" s="259">
        <v>50000</v>
      </c>
      <c r="N13" s="22" t="s">
        <v>297</v>
      </c>
      <c r="O13" s="258">
        <v>45300</v>
      </c>
      <c r="P13" s="273">
        <v>3539.8230088495602</v>
      </c>
      <c r="Q13" s="22">
        <v>1</v>
      </c>
      <c r="R13" s="425">
        <f t="shared" si="0"/>
        <v>3539.8230088495602</v>
      </c>
      <c r="S13" s="22" t="s">
        <v>316</v>
      </c>
      <c r="T13" s="22" t="s">
        <v>317</v>
      </c>
      <c r="U13" s="22" t="s">
        <v>318</v>
      </c>
      <c r="V13" s="22"/>
      <c r="W13" s="428"/>
    </row>
    <row r="14" spans="1:23" s="301" customFormat="1" ht="14.45" customHeight="1">
      <c r="A14" s="272" t="s">
        <v>130</v>
      </c>
      <c r="B14" s="22" t="str">
        <f>VLOOKUP(A14,[1]Sheet1!$A:$B,2,0)</f>
        <v>MODI</v>
      </c>
      <c r="C14" s="32" t="s">
        <v>108</v>
      </c>
      <c r="D14" s="44">
        <v>130040670023448</v>
      </c>
      <c r="E14" s="22" t="s">
        <v>74</v>
      </c>
      <c r="F14" s="22">
        <v>2024</v>
      </c>
      <c r="G14" s="22">
        <v>1</v>
      </c>
      <c r="H14" s="22" t="s">
        <v>315</v>
      </c>
      <c r="I14" s="258">
        <v>45608</v>
      </c>
      <c r="J14" s="262">
        <v>2</v>
      </c>
      <c r="K14" s="259"/>
      <c r="L14" s="259">
        <f t="shared" si="1"/>
        <v>0</v>
      </c>
      <c r="M14" s="259">
        <v>50000</v>
      </c>
      <c r="N14" s="22" t="s">
        <v>297</v>
      </c>
      <c r="O14" s="258">
        <v>45308</v>
      </c>
      <c r="P14" s="273">
        <v>5752.2123893805301</v>
      </c>
      <c r="Q14" s="22">
        <v>1</v>
      </c>
      <c r="R14" s="425">
        <f t="shared" si="0"/>
        <v>5752.2123893805301</v>
      </c>
      <c r="S14" s="22" t="s">
        <v>316</v>
      </c>
      <c r="T14" s="22" t="s">
        <v>317</v>
      </c>
      <c r="U14" s="22" t="s">
        <v>318</v>
      </c>
      <c r="V14" s="22"/>
      <c r="W14" s="428"/>
    </row>
    <row r="15" spans="1:23" s="301" customFormat="1" ht="14.45" customHeight="1">
      <c r="A15" s="272" t="s">
        <v>130</v>
      </c>
      <c r="B15" s="22" t="str">
        <f>VLOOKUP(A15,[1]Sheet1!$A:$B,2,0)</f>
        <v>MODI</v>
      </c>
      <c r="C15" s="32" t="s">
        <v>111</v>
      </c>
      <c r="D15" s="44">
        <v>130040670023442</v>
      </c>
      <c r="E15" s="22" t="s">
        <v>74</v>
      </c>
      <c r="F15" s="22">
        <v>2024</v>
      </c>
      <c r="G15" s="22">
        <v>1</v>
      </c>
      <c r="H15" s="22" t="s">
        <v>315</v>
      </c>
      <c r="I15" s="258">
        <v>45608</v>
      </c>
      <c r="J15" s="262">
        <v>2</v>
      </c>
      <c r="K15" s="259"/>
      <c r="L15" s="259">
        <f t="shared" si="1"/>
        <v>0</v>
      </c>
      <c r="M15" s="259">
        <v>50000</v>
      </c>
      <c r="N15" s="22" t="s">
        <v>297</v>
      </c>
      <c r="O15" s="258">
        <v>45308</v>
      </c>
      <c r="P15" s="273">
        <v>2212.3893805309699</v>
      </c>
      <c r="Q15" s="22">
        <v>1</v>
      </c>
      <c r="R15" s="425">
        <f t="shared" si="0"/>
        <v>2212.3893805309699</v>
      </c>
      <c r="S15" s="22" t="s">
        <v>316</v>
      </c>
      <c r="T15" s="22" t="s">
        <v>317</v>
      </c>
      <c r="U15" s="22" t="s">
        <v>318</v>
      </c>
      <c r="V15" s="22"/>
      <c r="W15" s="428"/>
    </row>
    <row r="16" spans="1:23" s="301" customFormat="1" ht="14.45" customHeight="1">
      <c r="A16" s="272" t="s">
        <v>113</v>
      </c>
      <c r="B16" s="22" t="str">
        <f>VLOOKUP(A16,[1]Sheet1!$A:$B,2,0)</f>
        <v>MODI</v>
      </c>
      <c r="C16" s="32" t="s">
        <v>119</v>
      </c>
      <c r="D16" s="44">
        <v>130040670039455</v>
      </c>
      <c r="E16" s="22" t="s">
        <v>74</v>
      </c>
      <c r="F16" s="22">
        <v>2024</v>
      </c>
      <c r="G16" s="22">
        <v>1</v>
      </c>
      <c r="H16" s="22" t="s">
        <v>315</v>
      </c>
      <c r="I16" s="258">
        <v>45608</v>
      </c>
      <c r="J16" s="262">
        <v>2</v>
      </c>
      <c r="K16" s="259"/>
      <c r="L16" s="259">
        <f t="shared" si="1"/>
        <v>0</v>
      </c>
      <c r="M16" s="259">
        <v>50000</v>
      </c>
      <c r="N16" s="22" t="s">
        <v>297</v>
      </c>
      <c r="O16" s="258">
        <v>45313</v>
      </c>
      <c r="P16" s="273">
        <v>11061.9469026549</v>
      </c>
      <c r="Q16" s="22">
        <v>1</v>
      </c>
      <c r="R16" s="425">
        <f t="shared" si="0"/>
        <v>11061.9469026549</v>
      </c>
      <c r="S16" s="22" t="s">
        <v>316</v>
      </c>
      <c r="T16" s="22" t="s">
        <v>317</v>
      </c>
      <c r="U16" s="22" t="s">
        <v>318</v>
      </c>
      <c r="V16" s="22"/>
      <c r="W16" s="428"/>
    </row>
    <row r="17" spans="1:23" s="301" customFormat="1" ht="14.45" customHeight="1">
      <c r="A17" s="272" t="s">
        <v>113</v>
      </c>
      <c r="B17" s="22" t="str">
        <f>VLOOKUP(A17,[1]Sheet1!$A:$B,2,0)</f>
        <v>MODI</v>
      </c>
      <c r="C17" s="32" t="s">
        <v>111</v>
      </c>
      <c r="D17" s="44">
        <v>130040670023900</v>
      </c>
      <c r="E17" s="22" t="s">
        <v>74</v>
      </c>
      <c r="F17" s="22">
        <v>2024</v>
      </c>
      <c r="G17" s="22">
        <v>1</v>
      </c>
      <c r="H17" s="22" t="s">
        <v>315</v>
      </c>
      <c r="I17" s="258">
        <v>45608</v>
      </c>
      <c r="J17" s="262">
        <v>2</v>
      </c>
      <c r="K17" s="259"/>
      <c r="L17" s="259">
        <f t="shared" si="1"/>
        <v>0</v>
      </c>
      <c r="M17" s="259">
        <v>50000</v>
      </c>
      <c r="N17" s="22" t="s">
        <v>297</v>
      </c>
      <c r="O17" s="258">
        <v>45313</v>
      </c>
      <c r="P17" s="273">
        <v>8672.5663716814197</v>
      </c>
      <c r="Q17" s="22">
        <v>1</v>
      </c>
      <c r="R17" s="425">
        <f t="shared" si="0"/>
        <v>8672.5663716814197</v>
      </c>
      <c r="S17" s="22" t="s">
        <v>316</v>
      </c>
      <c r="T17" s="22" t="s">
        <v>317</v>
      </c>
      <c r="U17" s="22" t="s">
        <v>318</v>
      </c>
      <c r="V17" s="22"/>
      <c r="W17" s="428"/>
    </row>
    <row r="18" spans="1:23" s="301" customFormat="1" ht="14.45" customHeight="1">
      <c r="A18" s="272" t="s">
        <v>113</v>
      </c>
      <c r="B18" s="22" t="str">
        <f>VLOOKUP(A18,[1]Sheet1!$A:$B,2,0)</f>
        <v>MODI</v>
      </c>
      <c r="C18" s="272" t="s">
        <v>323</v>
      </c>
      <c r="D18" s="44">
        <v>130040670023906</v>
      </c>
      <c r="E18" s="22" t="s">
        <v>74</v>
      </c>
      <c r="F18" s="22">
        <v>2024</v>
      </c>
      <c r="G18" s="22">
        <v>1</v>
      </c>
      <c r="H18" s="22" t="s">
        <v>315</v>
      </c>
      <c r="I18" s="258">
        <v>45608</v>
      </c>
      <c r="J18" s="262">
        <v>2</v>
      </c>
      <c r="K18" s="259"/>
      <c r="L18" s="259">
        <f t="shared" si="1"/>
        <v>0</v>
      </c>
      <c r="M18" s="259">
        <v>50000</v>
      </c>
      <c r="N18" s="22" t="s">
        <v>297</v>
      </c>
      <c r="O18" s="258">
        <v>45313</v>
      </c>
      <c r="P18" s="273">
        <v>3805</v>
      </c>
      <c r="Q18" s="22">
        <v>1</v>
      </c>
      <c r="R18" s="425">
        <f t="shared" si="0"/>
        <v>3805</v>
      </c>
      <c r="S18" s="22" t="s">
        <v>316</v>
      </c>
      <c r="T18" s="22" t="s">
        <v>317</v>
      </c>
      <c r="U18" s="22" t="s">
        <v>318</v>
      </c>
      <c r="V18" s="22"/>
      <c r="W18" s="428"/>
    </row>
    <row r="19" spans="1:23" s="301" customFormat="1" ht="14.45" customHeight="1">
      <c r="A19" s="272" t="s">
        <v>113</v>
      </c>
      <c r="B19" s="22" t="str">
        <f>VLOOKUP(A19,[1]Sheet1!$A:$B,2,0)</f>
        <v>MODI</v>
      </c>
      <c r="C19" s="32" t="s">
        <v>121</v>
      </c>
      <c r="D19" s="44">
        <v>130040670039442</v>
      </c>
      <c r="E19" s="22" t="s">
        <v>74</v>
      </c>
      <c r="F19" s="22">
        <v>2024</v>
      </c>
      <c r="G19" s="22">
        <v>1</v>
      </c>
      <c r="H19" s="22" t="s">
        <v>315</v>
      </c>
      <c r="I19" s="258">
        <v>45608</v>
      </c>
      <c r="J19" s="262">
        <v>2</v>
      </c>
      <c r="K19" s="259"/>
      <c r="L19" s="259">
        <f t="shared" si="1"/>
        <v>0</v>
      </c>
      <c r="M19" s="259">
        <v>50000</v>
      </c>
      <c r="N19" s="22" t="s">
        <v>297</v>
      </c>
      <c r="O19" s="258">
        <v>45313</v>
      </c>
      <c r="P19" s="273">
        <v>13717</v>
      </c>
      <c r="Q19" s="22">
        <v>1</v>
      </c>
      <c r="R19" s="425">
        <f t="shared" si="0"/>
        <v>13717</v>
      </c>
      <c r="S19" s="22" t="s">
        <v>316</v>
      </c>
      <c r="T19" s="22" t="s">
        <v>317</v>
      </c>
      <c r="U19" s="22" t="s">
        <v>318</v>
      </c>
      <c r="V19" s="22"/>
      <c r="W19" s="428"/>
    </row>
    <row r="20" spans="1:23" s="301" customFormat="1" ht="14.45" customHeight="1">
      <c r="A20" s="272" t="s">
        <v>113</v>
      </c>
      <c r="B20" s="22" t="str">
        <f>VLOOKUP(A20,[1]Sheet1!$A:$B,2,0)</f>
        <v>MODI</v>
      </c>
      <c r="C20" s="32" t="s">
        <v>114</v>
      </c>
      <c r="D20" s="44">
        <v>130040670023899</v>
      </c>
      <c r="E20" s="22" t="s">
        <v>74</v>
      </c>
      <c r="F20" s="22">
        <v>2024</v>
      </c>
      <c r="G20" s="22">
        <v>1</v>
      </c>
      <c r="H20" s="22" t="s">
        <v>315</v>
      </c>
      <c r="I20" s="258">
        <v>45608</v>
      </c>
      <c r="J20" s="262">
        <v>2</v>
      </c>
      <c r="K20" s="259"/>
      <c r="L20" s="259">
        <f t="shared" si="1"/>
        <v>0</v>
      </c>
      <c r="M20" s="259">
        <v>50000</v>
      </c>
      <c r="N20" s="22" t="s">
        <v>297</v>
      </c>
      <c r="O20" s="258">
        <v>45313</v>
      </c>
      <c r="P20" s="273">
        <v>20796</v>
      </c>
      <c r="Q20" s="22">
        <v>1</v>
      </c>
      <c r="R20" s="425">
        <f t="shared" si="0"/>
        <v>20796</v>
      </c>
      <c r="S20" s="22" t="s">
        <v>316</v>
      </c>
      <c r="T20" s="22" t="s">
        <v>317</v>
      </c>
      <c r="U20" s="22" t="s">
        <v>318</v>
      </c>
      <c r="V20" s="22"/>
      <c r="W20" s="428"/>
    </row>
    <row r="21" spans="1:23" s="301" customFormat="1" ht="14.45" customHeight="1">
      <c r="A21" s="304" t="s">
        <v>319</v>
      </c>
      <c r="B21" s="22" t="str">
        <f>VLOOKUP(A21,[1]Sheet1!$A:$B,2,0)</f>
        <v>MODI</v>
      </c>
      <c r="C21" s="32" t="s">
        <v>321</v>
      </c>
      <c r="D21" s="44">
        <v>130040670023601</v>
      </c>
      <c r="E21" s="22" t="s">
        <v>74</v>
      </c>
      <c r="F21" s="22">
        <v>2024</v>
      </c>
      <c r="G21" s="22">
        <v>1</v>
      </c>
      <c r="H21" s="22" t="s">
        <v>315</v>
      </c>
      <c r="I21" s="258">
        <v>45608</v>
      </c>
      <c r="J21" s="262">
        <v>2</v>
      </c>
      <c r="K21" s="259"/>
      <c r="L21" s="259">
        <f t="shared" si="1"/>
        <v>0</v>
      </c>
      <c r="M21" s="259">
        <v>50000</v>
      </c>
      <c r="N21" s="22" t="s">
        <v>297</v>
      </c>
      <c r="O21" s="258">
        <v>45315</v>
      </c>
      <c r="P21" s="273">
        <v>6283.1858407079699</v>
      </c>
      <c r="Q21" s="22">
        <v>1</v>
      </c>
      <c r="R21" s="425">
        <f t="shared" si="0"/>
        <v>6283.1858407079699</v>
      </c>
      <c r="S21" s="22" t="s">
        <v>316</v>
      </c>
      <c r="T21" s="22" t="s">
        <v>317</v>
      </c>
      <c r="U21" s="22" t="s">
        <v>318</v>
      </c>
      <c r="V21" s="22"/>
      <c r="W21" s="428"/>
    </row>
    <row r="22" spans="1:23" s="301" customFormat="1" ht="14.45" customHeight="1">
      <c r="A22" s="272" t="s">
        <v>130</v>
      </c>
      <c r="B22" s="22" t="str">
        <f>VLOOKUP(A22,[1]Sheet1!$A:$B,2,0)</f>
        <v>MODI</v>
      </c>
      <c r="C22" s="32" t="s">
        <v>114</v>
      </c>
      <c r="D22" s="44">
        <v>130040670023440</v>
      </c>
      <c r="E22" s="22" t="s">
        <v>74</v>
      </c>
      <c r="F22" s="22">
        <v>2024</v>
      </c>
      <c r="G22" s="22">
        <v>2</v>
      </c>
      <c r="H22" s="22" t="s">
        <v>315</v>
      </c>
      <c r="I22" s="258">
        <v>45608</v>
      </c>
      <c r="J22" s="262">
        <v>2</v>
      </c>
      <c r="K22" s="259"/>
      <c r="L22" s="259">
        <f t="shared" si="1"/>
        <v>0</v>
      </c>
      <c r="M22" s="259">
        <v>50000</v>
      </c>
      <c r="N22" s="22" t="s">
        <v>297</v>
      </c>
      <c r="O22" s="258">
        <v>45341</v>
      </c>
      <c r="P22" s="273">
        <v>12831.858407079601</v>
      </c>
      <c r="Q22" s="22">
        <v>1</v>
      </c>
      <c r="R22" s="425">
        <f t="shared" si="0"/>
        <v>12831.858407079601</v>
      </c>
      <c r="S22" s="22" t="s">
        <v>316</v>
      </c>
      <c r="T22" s="22" t="s">
        <v>317</v>
      </c>
      <c r="U22" s="22" t="s">
        <v>318</v>
      </c>
      <c r="V22" s="22"/>
      <c r="W22" s="428"/>
    </row>
    <row r="23" spans="1:23" s="301" customFormat="1" ht="14.45" customHeight="1">
      <c r="A23" s="272" t="s">
        <v>113</v>
      </c>
      <c r="B23" s="22" t="str">
        <f>VLOOKUP(A23,[1]Sheet1!$A:$B,2,0)</f>
        <v>MODI</v>
      </c>
      <c r="C23" s="32" t="s">
        <v>119</v>
      </c>
      <c r="D23" s="44">
        <v>130040670039455</v>
      </c>
      <c r="E23" s="22" t="s">
        <v>74</v>
      </c>
      <c r="F23" s="22">
        <v>2024</v>
      </c>
      <c r="G23" s="22">
        <v>2</v>
      </c>
      <c r="H23" s="22" t="s">
        <v>315</v>
      </c>
      <c r="I23" s="258">
        <v>45608</v>
      </c>
      <c r="J23" s="262">
        <v>2</v>
      </c>
      <c r="K23" s="259"/>
      <c r="L23" s="259">
        <f t="shared" si="1"/>
        <v>0</v>
      </c>
      <c r="M23" s="259">
        <v>50000</v>
      </c>
      <c r="N23" s="22" t="s">
        <v>297</v>
      </c>
      <c r="O23" s="258">
        <v>45341</v>
      </c>
      <c r="P23" s="273">
        <v>7964.60176991151</v>
      </c>
      <c r="Q23" s="22">
        <v>1</v>
      </c>
      <c r="R23" s="425">
        <f t="shared" si="0"/>
        <v>7964.60176991151</v>
      </c>
      <c r="S23" s="22" t="s">
        <v>316</v>
      </c>
      <c r="T23" s="22" t="s">
        <v>317</v>
      </c>
      <c r="U23" s="22" t="s">
        <v>318</v>
      </c>
      <c r="V23" s="22"/>
      <c r="W23" s="428"/>
    </row>
    <row r="24" spans="1:23" s="301" customFormat="1" ht="14.45" customHeight="1">
      <c r="A24" s="272" t="s">
        <v>113</v>
      </c>
      <c r="B24" s="22" t="str">
        <f>VLOOKUP(A24,[1]Sheet1!$A:$B,2,0)</f>
        <v>MODI</v>
      </c>
      <c r="C24" s="32" t="s">
        <v>116</v>
      </c>
      <c r="D24" s="44">
        <v>130040670023906</v>
      </c>
      <c r="E24" s="22" t="s">
        <v>74</v>
      </c>
      <c r="F24" s="22">
        <v>2024</v>
      </c>
      <c r="G24" s="22">
        <v>2</v>
      </c>
      <c r="H24" s="22" t="s">
        <v>315</v>
      </c>
      <c r="I24" s="258">
        <v>45608</v>
      </c>
      <c r="J24" s="262">
        <v>2</v>
      </c>
      <c r="K24" s="259"/>
      <c r="L24" s="259">
        <f t="shared" si="1"/>
        <v>0</v>
      </c>
      <c r="M24" s="259">
        <v>50000</v>
      </c>
      <c r="N24" s="22" t="s">
        <v>297</v>
      </c>
      <c r="O24" s="258">
        <v>45341</v>
      </c>
      <c r="P24" s="273">
        <v>2477.8761061946898</v>
      </c>
      <c r="Q24" s="22">
        <v>1</v>
      </c>
      <c r="R24" s="425">
        <f t="shared" si="0"/>
        <v>2477.8761061946898</v>
      </c>
      <c r="S24" s="22" t="s">
        <v>316</v>
      </c>
      <c r="T24" s="22" t="s">
        <v>317</v>
      </c>
      <c r="U24" s="22" t="s">
        <v>318</v>
      </c>
      <c r="V24" s="22"/>
      <c r="W24" s="428"/>
    </row>
    <row r="25" spans="1:23" s="301" customFormat="1" ht="14.45" customHeight="1">
      <c r="A25" s="272" t="s">
        <v>130</v>
      </c>
      <c r="B25" s="22" t="str">
        <f>VLOOKUP(A25,[1]Sheet1!$A:$B,2,0)</f>
        <v>MODI</v>
      </c>
      <c r="C25" s="32" t="s">
        <v>114</v>
      </c>
      <c r="D25" s="44">
        <v>130040670023440</v>
      </c>
      <c r="E25" s="22" t="s">
        <v>74</v>
      </c>
      <c r="F25" s="22">
        <v>2024</v>
      </c>
      <c r="G25" s="22">
        <v>2</v>
      </c>
      <c r="H25" s="22" t="s">
        <v>322</v>
      </c>
      <c r="I25" s="258">
        <v>45608</v>
      </c>
      <c r="J25" s="262">
        <v>48</v>
      </c>
      <c r="K25" s="259">
        <v>2029684.8</v>
      </c>
      <c r="L25" s="259">
        <f t="shared" si="1"/>
        <v>2029684.8</v>
      </c>
      <c r="M25" s="259">
        <v>1000000</v>
      </c>
      <c r="N25" s="22" t="s">
        <v>299</v>
      </c>
      <c r="O25" s="258">
        <v>45341</v>
      </c>
      <c r="P25" s="273">
        <v>33009</v>
      </c>
      <c r="Q25" s="22">
        <v>1</v>
      </c>
      <c r="R25" s="425">
        <f t="shared" si="0"/>
        <v>33009</v>
      </c>
      <c r="S25" s="22" t="s">
        <v>316</v>
      </c>
      <c r="T25" s="22" t="s">
        <v>317</v>
      </c>
      <c r="U25" s="22" t="s">
        <v>318</v>
      </c>
      <c r="V25" s="22"/>
      <c r="W25" s="428"/>
    </row>
    <row r="26" spans="1:23" s="301" customFormat="1" ht="14.45" customHeight="1">
      <c r="A26" s="272" t="s">
        <v>113</v>
      </c>
      <c r="B26" s="22" t="str">
        <f>VLOOKUP(A26,[1]Sheet1!$A:$B,2,0)</f>
        <v>MODI</v>
      </c>
      <c r="C26" s="32" t="s">
        <v>111</v>
      </c>
      <c r="D26" s="44">
        <v>130040670023900</v>
      </c>
      <c r="E26" s="22" t="s">
        <v>74</v>
      </c>
      <c r="F26" s="22">
        <v>2024</v>
      </c>
      <c r="G26" s="22">
        <v>2</v>
      </c>
      <c r="H26" s="22" t="s">
        <v>315</v>
      </c>
      <c r="I26" s="258">
        <v>45608</v>
      </c>
      <c r="J26" s="262">
        <v>2</v>
      </c>
      <c r="K26" s="259"/>
      <c r="L26" s="259">
        <f t="shared" si="1"/>
        <v>0</v>
      </c>
      <c r="M26" s="259">
        <v>50000</v>
      </c>
      <c r="N26" s="22" t="s">
        <v>297</v>
      </c>
      <c r="O26" s="258">
        <v>45341</v>
      </c>
      <c r="P26" s="273">
        <v>3097.34513274336</v>
      </c>
      <c r="Q26" s="22">
        <v>1</v>
      </c>
      <c r="R26" s="425">
        <f t="shared" si="0"/>
        <v>3097.34513274336</v>
      </c>
      <c r="S26" s="22" t="s">
        <v>316</v>
      </c>
      <c r="T26" s="22" t="s">
        <v>317</v>
      </c>
      <c r="U26" s="22" t="s">
        <v>318</v>
      </c>
      <c r="V26" s="22"/>
      <c r="W26" s="428"/>
    </row>
    <row r="27" spans="1:23" s="301" customFormat="1" ht="14.45" customHeight="1">
      <c r="A27" s="272" t="s">
        <v>324</v>
      </c>
      <c r="B27" s="22" t="str">
        <f>VLOOKUP(A27,[1]Sheet1!$A:$B,2,0)</f>
        <v>MODI</v>
      </c>
      <c r="C27" s="32" t="s">
        <v>114</v>
      </c>
      <c r="D27" s="44">
        <v>130040670023440</v>
      </c>
      <c r="E27" s="22" t="s">
        <v>74</v>
      </c>
      <c r="F27" s="22">
        <v>2024</v>
      </c>
      <c r="G27" s="22">
        <v>2</v>
      </c>
      <c r="H27" s="22" t="s">
        <v>315</v>
      </c>
      <c r="I27" s="258">
        <v>45608</v>
      </c>
      <c r="J27" s="262">
        <v>2</v>
      </c>
      <c r="K27" s="259"/>
      <c r="L27" s="259">
        <f t="shared" si="1"/>
        <v>0</v>
      </c>
      <c r="M27" s="259">
        <v>50000</v>
      </c>
      <c r="N27" s="22" t="s">
        <v>297</v>
      </c>
      <c r="O27" s="258">
        <v>45349</v>
      </c>
      <c r="P27" s="273">
        <v>2389.3805309734498</v>
      </c>
      <c r="Q27" s="22">
        <v>1</v>
      </c>
      <c r="R27" s="425">
        <f t="shared" si="0"/>
        <v>2389.3805309734498</v>
      </c>
      <c r="S27" s="22" t="s">
        <v>316</v>
      </c>
      <c r="T27" s="22" t="s">
        <v>317</v>
      </c>
      <c r="U27" s="22" t="s">
        <v>318</v>
      </c>
      <c r="V27" s="22"/>
      <c r="W27" s="428"/>
    </row>
    <row r="28" spans="1:23" s="301" customFormat="1" ht="14.45" customHeight="1">
      <c r="A28" s="272" t="s">
        <v>130</v>
      </c>
      <c r="B28" s="22" t="str">
        <f>VLOOKUP(A28,[1]Sheet1!$A:$B,2,0)</f>
        <v>MODI</v>
      </c>
      <c r="C28" s="32" t="s">
        <v>114</v>
      </c>
      <c r="D28" s="44">
        <v>130040670023440</v>
      </c>
      <c r="E28" s="22" t="s">
        <v>74</v>
      </c>
      <c r="F28" s="22">
        <v>2024</v>
      </c>
      <c r="G28" s="22">
        <v>2</v>
      </c>
      <c r="H28" s="22" t="s">
        <v>315</v>
      </c>
      <c r="I28" s="258">
        <v>45608</v>
      </c>
      <c r="J28" s="262">
        <v>2</v>
      </c>
      <c r="K28" s="259"/>
      <c r="L28" s="259">
        <f t="shared" si="1"/>
        <v>0</v>
      </c>
      <c r="M28" s="259">
        <v>50000</v>
      </c>
      <c r="N28" s="22" t="s">
        <v>297</v>
      </c>
      <c r="O28" s="258">
        <v>45349</v>
      </c>
      <c r="P28" s="273">
        <v>16504</v>
      </c>
      <c r="Q28" s="22">
        <v>1</v>
      </c>
      <c r="R28" s="425">
        <f t="shared" si="0"/>
        <v>16504</v>
      </c>
      <c r="S28" s="22" t="s">
        <v>316</v>
      </c>
      <c r="T28" s="22" t="s">
        <v>317</v>
      </c>
      <c r="U28" s="22" t="s">
        <v>318</v>
      </c>
      <c r="V28" s="22"/>
      <c r="W28" s="428"/>
    </row>
    <row r="29" spans="1:23" s="301" customFormat="1" ht="14.45" customHeight="1">
      <c r="A29" s="272" t="s">
        <v>113</v>
      </c>
      <c r="B29" s="22" t="str">
        <f>VLOOKUP(A29,[1]Sheet1!$A:$B,2,0)</f>
        <v>MODI</v>
      </c>
      <c r="C29" s="32" t="s">
        <v>114</v>
      </c>
      <c r="D29" s="44">
        <v>130040670023899</v>
      </c>
      <c r="E29" s="22" t="s">
        <v>74</v>
      </c>
      <c r="F29" s="22">
        <v>2024</v>
      </c>
      <c r="G29" s="22">
        <v>2</v>
      </c>
      <c r="H29" s="22" t="s">
        <v>315</v>
      </c>
      <c r="I29" s="258">
        <v>45608</v>
      </c>
      <c r="J29" s="262">
        <v>2</v>
      </c>
      <c r="K29" s="259"/>
      <c r="L29" s="259">
        <f t="shared" si="1"/>
        <v>0</v>
      </c>
      <c r="M29" s="259">
        <v>50000</v>
      </c>
      <c r="N29" s="22" t="s">
        <v>297</v>
      </c>
      <c r="O29" s="258">
        <v>45349</v>
      </c>
      <c r="P29" s="273">
        <v>2212.3893805309699</v>
      </c>
      <c r="Q29" s="22">
        <v>1</v>
      </c>
      <c r="R29" s="425">
        <f t="shared" si="0"/>
        <v>2212.3893805309699</v>
      </c>
      <c r="S29" s="22" t="s">
        <v>316</v>
      </c>
      <c r="T29" s="22" t="s">
        <v>317</v>
      </c>
      <c r="U29" s="22" t="s">
        <v>318</v>
      </c>
      <c r="V29" s="22"/>
      <c r="W29" s="428"/>
    </row>
    <row r="30" spans="1:23" s="301" customFormat="1" ht="14.45" customHeight="1">
      <c r="A30" s="272" t="s">
        <v>130</v>
      </c>
      <c r="B30" s="22" t="str">
        <f>VLOOKUP(A30,[1]Sheet1!$A:$B,2,0)</f>
        <v>MODI</v>
      </c>
      <c r="C30" s="32" t="s">
        <v>104</v>
      </c>
      <c r="D30" s="44">
        <v>130040670023445</v>
      </c>
      <c r="E30" s="22" t="s">
        <v>74</v>
      </c>
      <c r="F30" s="22">
        <v>2024</v>
      </c>
      <c r="G30" s="22">
        <v>2</v>
      </c>
      <c r="H30" s="22" t="s">
        <v>315</v>
      </c>
      <c r="I30" s="258">
        <v>45608</v>
      </c>
      <c r="J30" s="262">
        <v>2</v>
      </c>
      <c r="K30" s="259"/>
      <c r="L30" s="259">
        <f t="shared" si="1"/>
        <v>0</v>
      </c>
      <c r="M30" s="259">
        <v>50000</v>
      </c>
      <c r="N30" s="22" t="s">
        <v>297</v>
      </c>
      <c r="O30" s="258">
        <v>45350</v>
      </c>
      <c r="P30" s="273">
        <v>31858</v>
      </c>
      <c r="Q30" s="22">
        <v>1</v>
      </c>
      <c r="R30" s="425">
        <f t="shared" si="0"/>
        <v>31858</v>
      </c>
      <c r="S30" s="22" t="s">
        <v>316</v>
      </c>
      <c r="T30" s="22" t="s">
        <v>317</v>
      </c>
      <c r="U30" s="22" t="s">
        <v>318</v>
      </c>
      <c r="V30" s="22"/>
      <c r="W30" s="428"/>
    </row>
    <row r="31" spans="1:23" s="301" customFormat="1" ht="14.45" customHeight="1">
      <c r="A31" s="272" t="s">
        <v>106</v>
      </c>
      <c r="B31" s="22" t="str">
        <f>VLOOKUP(A31,[1]Sheet1!$A:$B,2,0)</f>
        <v>MODI</v>
      </c>
      <c r="C31" s="32" t="s">
        <v>104</v>
      </c>
      <c r="D31" s="44">
        <v>130040670018929</v>
      </c>
      <c r="E31" s="22" t="s">
        <v>74</v>
      </c>
      <c r="F31" s="22">
        <v>2024</v>
      </c>
      <c r="G31" s="22">
        <v>3</v>
      </c>
      <c r="H31" s="22" t="s">
        <v>325</v>
      </c>
      <c r="I31" s="258">
        <v>45608</v>
      </c>
      <c r="J31" s="262">
        <v>48</v>
      </c>
      <c r="K31" s="259">
        <v>2490280</v>
      </c>
      <c r="L31" s="259">
        <f t="shared" si="1"/>
        <v>2490280</v>
      </c>
      <c r="M31" s="259">
        <v>1000000</v>
      </c>
      <c r="N31" s="22" t="s">
        <v>299</v>
      </c>
      <c r="O31" s="258">
        <v>45362</v>
      </c>
      <c r="P31" s="273">
        <v>23363</v>
      </c>
      <c r="Q31" s="22">
        <v>1</v>
      </c>
      <c r="R31" s="425">
        <f t="shared" si="0"/>
        <v>23363</v>
      </c>
      <c r="S31" s="22" t="s">
        <v>316</v>
      </c>
      <c r="T31" s="22" t="s">
        <v>317</v>
      </c>
      <c r="U31" s="22" t="s">
        <v>318</v>
      </c>
      <c r="V31" s="22"/>
      <c r="W31" s="428"/>
    </row>
    <row r="32" spans="1:23" s="301" customFormat="1" ht="14.45" customHeight="1">
      <c r="A32" s="272" t="s">
        <v>113</v>
      </c>
      <c r="B32" s="22" t="str">
        <f>VLOOKUP(A32,[1]Sheet1!$A:$B,2,0)</f>
        <v>MODI</v>
      </c>
      <c r="C32" s="32" t="s">
        <v>119</v>
      </c>
      <c r="D32" s="44">
        <v>130040670039455</v>
      </c>
      <c r="E32" s="22" t="s">
        <v>74</v>
      </c>
      <c r="F32" s="22">
        <v>2024</v>
      </c>
      <c r="G32" s="22">
        <v>3</v>
      </c>
      <c r="H32" s="22" t="s">
        <v>325</v>
      </c>
      <c r="I32" s="258">
        <v>45608</v>
      </c>
      <c r="J32" s="262">
        <v>48</v>
      </c>
      <c r="K32" s="259"/>
      <c r="L32" s="259">
        <f t="shared" si="1"/>
        <v>0</v>
      </c>
      <c r="M32" s="259">
        <v>1000000</v>
      </c>
      <c r="N32" s="22" t="s">
        <v>299</v>
      </c>
      <c r="O32" s="258">
        <v>45372</v>
      </c>
      <c r="P32" s="273">
        <v>34159</v>
      </c>
      <c r="Q32" s="22">
        <v>1</v>
      </c>
      <c r="R32" s="425">
        <f t="shared" si="0"/>
        <v>34159</v>
      </c>
      <c r="S32" s="22" t="s">
        <v>316</v>
      </c>
      <c r="T32" s="22" t="s">
        <v>317</v>
      </c>
      <c r="U32" s="22" t="s">
        <v>318</v>
      </c>
      <c r="V32" s="22"/>
      <c r="W32" s="428"/>
    </row>
    <row r="33" spans="1:23" s="301" customFormat="1" ht="14.45" customHeight="1">
      <c r="A33" s="272" t="s">
        <v>113</v>
      </c>
      <c r="B33" s="22" t="str">
        <f>VLOOKUP(A33,[1]Sheet1!$A:$B,2,0)</f>
        <v>MODI</v>
      </c>
      <c r="C33" s="32" t="s">
        <v>121</v>
      </c>
      <c r="D33" s="44">
        <v>130040670039442</v>
      </c>
      <c r="E33" s="22" t="s">
        <v>74</v>
      </c>
      <c r="F33" s="22">
        <v>2024</v>
      </c>
      <c r="G33" s="22">
        <v>3</v>
      </c>
      <c r="H33" s="22" t="s">
        <v>325</v>
      </c>
      <c r="I33" s="258">
        <v>45608</v>
      </c>
      <c r="J33" s="262">
        <v>48</v>
      </c>
      <c r="K33" s="259"/>
      <c r="L33" s="259">
        <f t="shared" si="1"/>
        <v>0</v>
      </c>
      <c r="M33" s="259">
        <v>1000000</v>
      </c>
      <c r="N33" s="22" t="s">
        <v>299</v>
      </c>
      <c r="O33" s="258">
        <v>45372</v>
      </c>
      <c r="P33" s="273">
        <v>33363</v>
      </c>
      <c r="Q33" s="22">
        <v>1</v>
      </c>
      <c r="R33" s="425">
        <f t="shared" si="0"/>
        <v>33363</v>
      </c>
      <c r="S33" s="22" t="s">
        <v>316</v>
      </c>
      <c r="T33" s="22" t="s">
        <v>317</v>
      </c>
      <c r="U33" s="22" t="s">
        <v>318</v>
      </c>
      <c r="V33" s="22"/>
      <c r="W33" s="428"/>
    </row>
    <row r="34" spans="1:23" s="301" customFormat="1" ht="14.45" customHeight="1">
      <c r="A34" s="272" t="s">
        <v>106</v>
      </c>
      <c r="B34" s="22" t="str">
        <f>VLOOKUP(A34,[1]Sheet1!$A:$B,2,0)</f>
        <v>MODI</v>
      </c>
      <c r="C34" s="32" t="s">
        <v>111</v>
      </c>
      <c r="D34" s="44">
        <v>130040670018919</v>
      </c>
      <c r="E34" s="22" t="s">
        <v>74</v>
      </c>
      <c r="F34" s="22">
        <v>2024</v>
      </c>
      <c r="G34" s="22">
        <v>3</v>
      </c>
      <c r="H34" s="22" t="s">
        <v>325</v>
      </c>
      <c r="I34" s="258">
        <v>45608</v>
      </c>
      <c r="J34" s="262">
        <v>48</v>
      </c>
      <c r="K34" s="259">
        <v>1969920</v>
      </c>
      <c r="L34" s="259">
        <f t="shared" si="1"/>
        <v>1969920</v>
      </c>
      <c r="M34" s="259">
        <v>1000000</v>
      </c>
      <c r="N34" s="22" t="s">
        <v>299</v>
      </c>
      <c r="O34" s="258">
        <v>45376</v>
      </c>
      <c r="P34" s="273">
        <v>556000</v>
      </c>
      <c r="Q34" s="22">
        <v>1</v>
      </c>
      <c r="R34" s="425">
        <f t="shared" si="0"/>
        <v>556000</v>
      </c>
      <c r="S34" s="22" t="s">
        <v>316</v>
      </c>
      <c r="T34" s="22" t="s">
        <v>317</v>
      </c>
      <c r="U34" s="22" t="s">
        <v>318</v>
      </c>
      <c r="V34" s="22"/>
      <c r="W34" s="428"/>
    </row>
    <row r="35" spans="1:23" s="301" customFormat="1" ht="14.45" customHeight="1">
      <c r="A35" s="272" t="s">
        <v>107</v>
      </c>
      <c r="B35" s="22" t="str">
        <f>VLOOKUP(A35,[1]Sheet1!$A:$B,2,0)</f>
        <v>MODI</v>
      </c>
      <c r="C35" s="32" t="s">
        <v>121</v>
      </c>
      <c r="D35" s="44">
        <v>130040670039442</v>
      </c>
      <c r="E35" s="22" t="s">
        <v>74</v>
      </c>
      <c r="F35" s="22">
        <v>2024</v>
      </c>
      <c r="G35" s="22">
        <v>3</v>
      </c>
      <c r="H35" s="22" t="s">
        <v>325</v>
      </c>
      <c r="I35" s="258">
        <v>45608</v>
      </c>
      <c r="J35" s="262">
        <v>2</v>
      </c>
      <c r="K35" s="259"/>
      <c r="L35" s="259">
        <f t="shared" si="1"/>
        <v>0</v>
      </c>
      <c r="M35" s="259">
        <v>50000</v>
      </c>
      <c r="N35" s="22" t="s">
        <v>297</v>
      </c>
      <c r="O35" s="258">
        <v>45377</v>
      </c>
      <c r="P35" s="273">
        <v>11238.938053097299</v>
      </c>
      <c r="Q35" s="22">
        <v>1</v>
      </c>
      <c r="R35" s="425">
        <f t="shared" si="0"/>
        <v>11238.938053097299</v>
      </c>
      <c r="S35" s="22" t="s">
        <v>316</v>
      </c>
      <c r="T35" s="22" t="s">
        <v>317</v>
      </c>
      <c r="U35" s="22" t="s">
        <v>318</v>
      </c>
      <c r="V35" s="22"/>
      <c r="W35" s="428"/>
    </row>
    <row r="36" spans="1:23" s="301" customFormat="1" ht="14.45" customHeight="1">
      <c r="A36" s="272" t="s">
        <v>113</v>
      </c>
      <c r="B36" s="22" t="str">
        <f>VLOOKUP(A36,[1]Sheet1!$A:$B,2,0)</f>
        <v>MODI</v>
      </c>
      <c r="C36" s="32" t="s">
        <v>121</v>
      </c>
      <c r="D36" s="44">
        <v>130040670039442</v>
      </c>
      <c r="E36" s="22" t="s">
        <v>74</v>
      </c>
      <c r="F36" s="22">
        <v>2024</v>
      </c>
      <c r="G36" s="22">
        <v>3</v>
      </c>
      <c r="H36" s="22" t="s">
        <v>325</v>
      </c>
      <c r="I36" s="258">
        <v>45608</v>
      </c>
      <c r="J36" s="262">
        <v>2</v>
      </c>
      <c r="K36" s="259"/>
      <c r="L36" s="259">
        <f t="shared" si="1"/>
        <v>0</v>
      </c>
      <c r="M36" s="259">
        <v>50000</v>
      </c>
      <c r="N36" s="22" t="s">
        <v>297</v>
      </c>
      <c r="O36" s="258">
        <v>45377</v>
      </c>
      <c r="P36" s="273">
        <v>12035</v>
      </c>
      <c r="Q36" s="22">
        <v>1</v>
      </c>
      <c r="R36" s="425">
        <f t="shared" si="0"/>
        <v>12035</v>
      </c>
      <c r="S36" s="22" t="s">
        <v>316</v>
      </c>
      <c r="T36" s="22" t="s">
        <v>317</v>
      </c>
      <c r="U36" s="22" t="s">
        <v>318</v>
      </c>
      <c r="V36" s="22"/>
      <c r="W36" s="428"/>
    </row>
    <row r="37" spans="1:23" s="301" customFormat="1" ht="14.45" customHeight="1">
      <c r="A37" s="272" t="s">
        <v>113</v>
      </c>
      <c r="B37" s="22" t="str">
        <f>VLOOKUP(A37,[1]Sheet1!$A:$B,2,0)</f>
        <v>MODI</v>
      </c>
      <c r="C37" s="32" t="s">
        <v>121</v>
      </c>
      <c r="D37" s="44">
        <v>130040670039442</v>
      </c>
      <c r="E37" s="22" t="s">
        <v>74</v>
      </c>
      <c r="F37" s="22">
        <v>2024</v>
      </c>
      <c r="G37" s="22">
        <v>3</v>
      </c>
      <c r="H37" s="22" t="s">
        <v>325</v>
      </c>
      <c r="I37" s="258">
        <v>45608</v>
      </c>
      <c r="J37" s="262">
        <v>48</v>
      </c>
      <c r="K37" s="259"/>
      <c r="L37" s="259">
        <f t="shared" si="1"/>
        <v>0</v>
      </c>
      <c r="M37" s="259">
        <v>1000000</v>
      </c>
      <c r="N37" s="22" t="s">
        <v>299</v>
      </c>
      <c r="O37" s="258">
        <v>45377</v>
      </c>
      <c r="P37" s="273">
        <v>22124</v>
      </c>
      <c r="Q37" s="22">
        <v>1</v>
      </c>
      <c r="R37" s="425">
        <f t="shared" si="0"/>
        <v>22124</v>
      </c>
      <c r="S37" s="22" t="s">
        <v>316</v>
      </c>
      <c r="T37" s="22" t="s">
        <v>317</v>
      </c>
      <c r="U37" s="22" t="s">
        <v>318</v>
      </c>
      <c r="V37" s="22"/>
      <c r="W37" s="428"/>
    </row>
    <row r="38" spans="1:23" s="301" customFormat="1" ht="14.45" customHeight="1">
      <c r="A38" s="272" t="s">
        <v>113</v>
      </c>
      <c r="B38" s="22" t="str">
        <f>VLOOKUP(A38,[1]Sheet1!$A:$B,2,0)</f>
        <v>MODI</v>
      </c>
      <c r="C38" s="32" t="s">
        <v>121</v>
      </c>
      <c r="D38" s="44">
        <v>130040670039442</v>
      </c>
      <c r="E38" s="22" t="s">
        <v>74</v>
      </c>
      <c r="F38" s="22">
        <v>2024</v>
      </c>
      <c r="G38" s="22">
        <v>3</v>
      </c>
      <c r="H38" s="22" t="s">
        <v>325</v>
      </c>
      <c r="I38" s="258">
        <v>45608</v>
      </c>
      <c r="J38" s="262">
        <v>48</v>
      </c>
      <c r="K38" s="259"/>
      <c r="L38" s="259">
        <f t="shared" si="1"/>
        <v>0</v>
      </c>
      <c r="M38" s="259">
        <v>1000000</v>
      </c>
      <c r="N38" s="22" t="s">
        <v>299</v>
      </c>
      <c r="O38" s="258">
        <v>45377</v>
      </c>
      <c r="P38" s="273">
        <v>22124</v>
      </c>
      <c r="Q38" s="22">
        <v>1</v>
      </c>
      <c r="R38" s="425">
        <f t="shared" si="0"/>
        <v>22124</v>
      </c>
      <c r="S38" s="22" t="s">
        <v>316</v>
      </c>
      <c r="T38" s="22" t="s">
        <v>317</v>
      </c>
      <c r="U38" s="22" t="s">
        <v>318</v>
      </c>
      <c r="V38" s="22"/>
      <c r="W38" s="428"/>
    </row>
    <row r="39" spans="1:23" s="301" customFormat="1" ht="14.45" customHeight="1">
      <c r="A39" s="274" t="s">
        <v>326</v>
      </c>
      <c r="B39" s="22" t="str">
        <f>VLOOKUP(A39,[1]Sheet1!$A:$B,2,0)</f>
        <v>RCS DEVICE</v>
      </c>
      <c r="C39" s="32" t="s">
        <v>327</v>
      </c>
      <c r="D39" s="22" t="s">
        <v>75</v>
      </c>
      <c r="E39" s="22" t="s">
        <v>74</v>
      </c>
      <c r="F39" s="22">
        <v>2024</v>
      </c>
      <c r="G39" s="22">
        <v>4</v>
      </c>
      <c r="H39" s="22" t="s">
        <v>315</v>
      </c>
      <c r="I39" s="258">
        <v>45608</v>
      </c>
      <c r="J39" s="262">
        <v>2</v>
      </c>
      <c r="K39" s="259"/>
      <c r="L39" s="259">
        <f t="shared" si="1"/>
        <v>0</v>
      </c>
      <c r="M39" s="259">
        <v>50000</v>
      </c>
      <c r="N39" s="22" t="s">
        <v>296</v>
      </c>
      <c r="O39" s="258">
        <v>45383</v>
      </c>
      <c r="P39" s="273">
        <v>60176.991150442504</v>
      </c>
      <c r="Q39" s="22">
        <v>1</v>
      </c>
      <c r="R39" s="425">
        <f t="shared" si="0"/>
        <v>60176.991150442504</v>
      </c>
      <c r="S39" s="22" t="s">
        <v>316</v>
      </c>
      <c r="T39" s="22" t="s">
        <v>317</v>
      </c>
      <c r="U39" s="22" t="s">
        <v>318</v>
      </c>
      <c r="V39" s="22"/>
      <c r="W39" s="428"/>
    </row>
    <row r="40" spans="1:23" s="301" customFormat="1" ht="14.45" customHeight="1">
      <c r="A40" s="274" t="s">
        <v>326</v>
      </c>
      <c r="B40" s="22" t="str">
        <f>VLOOKUP(A40,[1]Sheet1!$A:$B,2,0)</f>
        <v>RCS DEVICE</v>
      </c>
      <c r="C40" s="32" t="s">
        <v>328</v>
      </c>
      <c r="D40" s="22" t="s">
        <v>75</v>
      </c>
      <c r="E40" s="22" t="s">
        <v>74</v>
      </c>
      <c r="F40" s="22">
        <v>2024</v>
      </c>
      <c r="G40" s="22">
        <v>4</v>
      </c>
      <c r="H40" s="22" t="s">
        <v>315</v>
      </c>
      <c r="I40" s="258">
        <v>45608</v>
      </c>
      <c r="J40" s="262">
        <v>2</v>
      </c>
      <c r="K40" s="259"/>
      <c r="L40" s="259">
        <f t="shared" si="1"/>
        <v>0</v>
      </c>
      <c r="M40" s="259">
        <v>50000</v>
      </c>
      <c r="N40" s="22" t="s">
        <v>296</v>
      </c>
      <c r="O40" s="258">
        <v>45383</v>
      </c>
      <c r="P40" s="273">
        <v>56637.168141592898</v>
      </c>
      <c r="Q40" s="22">
        <v>1</v>
      </c>
      <c r="R40" s="425">
        <f t="shared" si="0"/>
        <v>56637.168141592898</v>
      </c>
      <c r="S40" s="22" t="s">
        <v>316</v>
      </c>
      <c r="T40" s="22" t="s">
        <v>317</v>
      </c>
      <c r="U40" s="22" t="s">
        <v>318</v>
      </c>
      <c r="V40" s="22"/>
      <c r="W40" s="428"/>
    </row>
    <row r="41" spans="1:23" s="301" customFormat="1" ht="14.45" customHeight="1">
      <c r="A41" s="274" t="s">
        <v>326</v>
      </c>
      <c r="B41" s="22" t="str">
        <f>VLOOKUP(A41,[1]Sheet1!$A:$B,2,0)</f>
        <v>RCS DEVICE</v>
      </c>
      <c r="C41" s="274" t="s">
        <v>329</v>
      </c>
      <c r="D41" s="22" t="s">
        <v>75</v>
      </c>
      <c r="E41" s="22" t="s">
        <v>74</v>
      </c>
      <c r="F41" s="22">
        <v>2024</v>
      </c>
      <c r="G41" s="22">
        <v>4</v>
      </c>
      <c r="H41" s="22" t="s">
        <v>315</v>
      </c>
      <c r="I41" s="258">
        <v>45608</v>
      </c>
      <c r="J41" s="262">
        <v>2</v>
      </c>
      <c r="K41" s="259"/>
      <c r="L41" s="259">
        <f t="shared" si="1"/>
        <v>0</v>
      </c>
      <c r="M41" s="259">
        <v>50000</v>
      </c>
      <c r="N41" s="22" t="s">
        <v>296</v>
      </c>
      <c r="O41" s="258">
        <v>45383</v>
      </c>
      <c r="P41" s="273">
        <v>53097.345132743401</v>
      </c>
      <c r="Q41" s="22">
        <v>1</v>
      </c>
      <c r="R41" s="425">
        <f t="shared" si="0"/>
        <v>53097.345132743401</v>
      </c>
      <c r="S41" s="22" t="s">
        <v>316</v>
      </c>
      <c r="T41" s="22" t="s">
        <v>317</v>
      </c>
      <c r="U41" s="22" t="s">
        <v>318</v>
      </c>
      <c r="V41" s="22"/>
      <c r="W41" s="428"/>
    </row>
    <row r="42" spans="1:23" s="301" customFormat="1" ht="14.45" customHeight="1">
      <c r="A42" s="274" t="s">
        <v>18</v>
      </c>
      <c r="B42" s="22" t="str">
        <f>VLOOKUP(A42,[1]Sheet1!$A:$B,2,0)</f>
        <v>RCS POD</v>
      </c>
      <c r="C42" s="37" t="s">
        <v>104</v>
      </c>
      <c r="D42" s="44">
        <v>130040670020899</v>
      </c>
      <c r="E42" s="22" t="s">
        <v>74</v>
      </c>
      <c r="F42" s="22">
        <v>2024</v>
      </c>
      <c r="G42" s="22">
        <v>4</v>
      </c>
      <c r="H42" s="22" t="s">
        <v>325</v>
      </c>
      <c r="I42" s="258">
        <v>45608</v>
      </c>
      <c r="J42" s="262">
        <v>48</v>
      </c>
      <c r="K42" s="305">
        <v>2965248</v>
      </c>
      <c r="L42" s="259">
        <f t="shared" si="1"/>
        <v>2965248</v>
      </c>
      <c r="M42" s="259">
        <v>1000000</v>
      </c>
      <c r="N42" s="22" t="s">
        <v>299</v>
      </c>
      <c r="O42" s="258">
        <v>45383</v>
      </c>
      <c r="P42" s="273">
        <v>66371.681415929197</v>
      </c>
      <c r="Q42" s="22">
        <v>1</v>
      </c>
      <c r="R42" s="425">
        <f t="shared" si="0"/>
        <v>66371.681415929197</v>
      </c>
      <c r="S42" s="22" t="s">
        <v>316</v>
      </c>
      <c r="T42" s="22" t="s">
        <v>317</v>
      </c>
      <c r="U42" s="22" t="s">
        <v>318</v>
      </c>
      <c r="V42" s="22"/>
      <c r="W42" s="428"/>
    </row>
    <row r="43" spans="1:23" s="301" customFormat="1" ht="14.45" customHeight="1">
      <c r="A43" s="272" t="s">
        <v>127</v>
      </c>
      <c r="B43" s="22" t="str">
        <f>VLOOKUP(A43,[1]Sheet1!$A:$B,2,0)</f>
        <v>MODI</v>
      </c>
      <c r="C43" s="32" t="s">
        <v>129</v>
      </c>
      <c r="D43" s="44">
        <v>130040670017658</v>
      </c>
      <c r="E43" s="22" t="s">
        <v>74</v>
      </c>
      <c r="F43" s="22">
        <v>2024</v>
      </c>
      <c r="G43" s="22">
        <v>4</v>
      </c>
      <c r="H43" s="22" t="s">
        <v>325</v>
      </c>
      <c r="I43" s="258">
        <v>45608</v>
      </c>
      <c r="J43" s="262">
        <v>48</v>
      </c>
      <c r="K43" s="259">
        <v>2709491.2</v>
      </c>
      <c r="L43" s="259">
        <f t="shared" si="1"/>
        <v>2709491.2</v>
      </c>
      <c r="M43" s="259">
        <v>1000000</v>
      </c>
      <c r="N43" s="22" t="s">
        <v>299</v>
      </c>
      <c r="O43" s="258">
        <v>45385</v>
      </c>
      <c r="P43" s="273">
        <v>6460.1769911504398</v>
      </c>
      <c r="Q43" s="22">
        <v>1</v>
      </c>
      <c r="R43" s="425">
        <f t="shared" si="0"/>
        <v>6460.1769911504398</v>
      </c>
      <c r="S43" s="22" t="s">
        <v>316</v>
      </c>
      <c r="T43" s="22" t="s">
        <v>317</v>
      </c>
      <c r="U43" s="22" t="s">
        <v>318</v>
      </c>
      <c r="V43" s="22"/>
      <c r="W43" s="428"/>
    </row>
    <row r="44" spans="1:23" s="301" customFormat="1" ht="14.45" customHeight="1">
      <c r="A44" s="272" t="s">
        <v>130</v>
      </c>
      <c r="B44" s="22" t="str">
        <f>VLOOKUP(A44,[1]Sheet1!$A:$B,2,0)</f>
        <v>MODI</v>
      </c>
      <c r="C44" s="274" t="s">
        <v>122</v>
      </c>
      <c r="D44" s="44">
        <v>130040670017669</v>
      </c>
      <c r="E44" s="22" t="s">
        <v>74</v>
      </c>
      <c r="F44" s="22">
        <v>2024</v>
      </c>
      <c r="G44" s="22">
        <v>4</v>
      </c>
      <c r="H44" s="22" t="s">
        <v>325</v>
      </c>
      <c r="I44" s="258">
        <v>45608</v>
      </c>
      <c r="J44" s="262">
        <v>48</v>
      </c>
      <c r="K44" s="259"/>
      <c r="L44" s="259">
        <f t="shared" si="1"/>
        <v>0</v>
      </c>
      <c r="M44" s="259">
        <v>1000000</v>
      </c>
      <c r="N44" s="22" t="s">
        <v>299</v>
      </c>
      <c r="O44" s="258">
        <v>45392</v>
      </c>
      <c r="P44" s="273">
        <v>5752.2123893805301</v>
      </c>
      <c r="Q44" s="22">
        <v>1</v>
      </c>
      <c r="R44" s="425">
        <f t="shared" si="0"/>
        <v>5752.2123893805301</v>
      </c>
      <c r="S44" s="22" t="s">
        <v>316</v>
      </c>
      <c r="T44" s="22" t="s">
        <v>317</v>
      </c>
      <c r="U44" s="22" t="s">
        <v>318</v>
      </c>
      <c r="V44" s="22"/>
      <c r="W44" s="428"/>
    </row>
    <row r="45" spans="1:23" s="301" customFormat="1" ht="14.45" customHeight="1">
      <c r="A45" s="272" t="s">
        <v>130</v>
      </c>
      <c r="B45" s="22" t="str">
        <f>VLOOKUP(A45,[1]Sheet1!$A:$B,2,0)</f>
        <v>MODI</v>
      </c>
      <c r="C45" s="274" t="s">
        <v>122</v>
      </c>
      <c r="D45" s="44">
        <v>130040670017669</v>
      </c>
      <c r="E45" s="22" t="s">
        <v>74</v>
      </c>
      <c r="F45" s="22">
        <v>2024</v>
      </c>
      <c r="G45" s="22">
        <v>4</v>
      </c>
      <c r="H45" s="22" t="s">
        <v>325</v>
      </c>
      <c r="I45" s="258">
        <v>45608</v>
      </c>
      <c r="J45" s="262">
        <v>48</v>
      </c>
      <c r="K45" s="259"/>
      <c r="L45" s="259">
        <f t="shared" si="1"/>
        <v>0</v>
      </c>
      <c r="M45" s="259">
        <v>1000000</v>
      </c>
      <c r="N45" s="22" t="s">
        <v>299</v>
      </c>
      <c r="O45" s="258">
        <v>45392</v>
      </c>
      <c r="P45" s="273">
        <v>5752.2123893805301</v>
      </c>
      <c r="Q45" s="22">
        <v>1</v>
      </c>
      <c r="R45" s="425">
        <f t="shared" si="0"/>
        <v>5752.2123893805301</v>
      </c>
      <c r="S45" s="22" t="s">
        <v>316</v>
      </c>
      <c r="T45" s="22" t="s">
        <v>317</v>
      </c>
      <c r="U45" s="22" t="s">
        <v>318</v>
      </c>
      <c r="V45" s="22"/>
      <c r="W45" s="428"/>
    </row>
    <row r="46" spans="1:23" s="301" customFormat="1" ht="14.45" customHeight="1">
      <c r="A46" s="274" t="s">
        <v>130</v>
      </c>
      <c r="B46" s="22" t="str">
        <f>VLOOKUP(A46,[1]Sheet1!$A:$B,2,0)</f>
        <v>MODI</v>
      </c>
      <c r="C46" s="32" t="s">
        <v>114</v>
      </c>
      <c r="D46" s="44">
        <v>130040670023440</v>
      </c>
      <c r="E46" s="22" t="s">
        <v>74</v>
      </c>
      <c r="F46" s="22">
        <v>2024</v>
      </c>
      <c r="G46" s="22">
        <v>4</v>
      </c>
      <c r="H46" s="22" t="s">
        <v>325</v>
      </c>
      <c r="I46" s="258">
        <v>45608</v>
      </c>
      <c r="J46" s="262">
        <v>2</v>
      </c>
      <c r="K46" s="259"/>
      <c r="L46" s="259">
        <f t="shared" si="1"/>
        <v>0</v>
      </c>
      <c r="M46" s="259">
        <v>50000</v>
      </c>
      <c r="N46" s="22" t="s">
        <v>297</v>
      </c>
      <c r="O46" s="258">
        <v>45392</v>
      </c>
      <c r="P46" s="273">
        <v>5309.7345132743403</v>
      </c>
      <c r="Q46" s="22">
        <v>1</v>
      </c>
      <c r="R46" s="425">
        <f t="shared" si="0"/>
        <v>5309.7345132743403</v>
      </c>
      <c r="S46" s="22" t="s">
        <v>316</v>
      </c>
      <c r="T46" s="22" t="s">
        <v>317</v>
      </c>
      <c r="U46" s="22" t="s">
        <v>318</v>
      </c>
      <c r="V46" s="22"/>
      <c r="W46" s="428"/>
    </row>
    <row r="47" spans="1:23" s="301" customFormat="1" ht="14.45" customHeight="1">
      <c r="A47" s="272" t="s">
        <v>113</v>
      </c>
      <c r="B47" s="22" t="str">
        <f>VLOOKUP(A47,[1]Sheet1!$A:$B,2,0)</f>
        <v>MODI</v>
      </c>
      <c r="C47" s="272" t="s">
        <v>323</v>
      </c>
      <c r="D47" s="44">
        <v>130040670023906</v>
      </c>
      <c r="E47" s="22" t="s">
        <v>74</v>
      </c>
      <c r="F47" s="22">
        <v>2024</v>
      </c>
      <c r="G47" s="22">
        <v>4</v>
      </c>
      <c r="H47" s="22" t="s">
        <v>325</v>
      </c>
      <c r="I47" s="258">
        <v>45608</v>
      </c>
      <c r="J47" s="262">
        <v>48</v>
      </c>
      <c r="K47" s="259"/>
      <c r="L47" s="259">
        <f t="shared" si="1"/>
        <v>0</v>
      </c>
      <c r="M47" s="259">
        <v>1000000</v>
      </c>
      <c r="N47" s="22" t="s">
        <v>299</v>
      </c>
      <c r="O47" s="258">
        <v>45393</v>
      </c>
      <c r="P47" s="273">
        <v>5752.2123893805301</v>
      </c>
      <c r="Q47" s="22">
        <v>1</v>
      </c>
      <c r="R47" s="425">
        <f t="shared" si="0"/>
        <v>5752.2123893805301</v>
      </c>
      <c r="S47" s="22" t="s">
        <v>316</v>
      </c>
      <c r="T47" s="22" t="s">
        <v>317</v>
      </c>
      <c r="U47" s="22" t="s">
        <v>318</v>
      </c>
      <c r="V47" s="22"/>
      <c r="W47" s="428"/>
    </row>
    <row r="48" spans="1:23" s="301" customFormat="1" ht="14.45" customHeight="1">
      <c r="A48" s="272" t="s">
        <v>130</v>
      </c>
      <c r="B48" s="22" t="str">
        <f>VLOOKUP(A48,[1]Sheet1!$A:$B,2,0)</f>
        <v>MODI</v>
      </c>
      <c r="C48" s="32" t="s">
        <v>114</v>
      </c>
      <c r="D48" s="44">
        <v>130040670023440</v>
      </c>
      <c r="E48" s="22" t="s">
        <v>74</v>
      </c>
      <c r="F48" s="22">
        <v>2024</v>
      </c>
      <c r="G48" s="22">
        <v>4</v>
      </c>
      <c r="H48" s="22" t="s">
        <v>325</v>
      </c>
      <c r="I48" s="258">
        <v>45608</v>
      </c>
      <c r="J48" s="262">
        <v>48</v>
      </c>
      <c r="K48" s="259">
        <v>2029684.8</v>
      </c>
      <c r="L48" s="259">
        <f t="shared" si="1"/>
        <v>2029684.8</v>
      </c>
      <c r="M48" s="259">
        <v>1000000</v>
      </c>
      <c r="N48" s="22" t="s">
        <v>299</v>
      </c>
      <c r="O48" s="258">
        <v>45393</v>
      </c>
      <c r="P48" s="273">
        <v>15929.203539823</v>
      </c>
      <c r="Q48" s="22">
        <v>1</v>
      </c>
      <c r="R48" s="425">
        <f t="shared" si="0"/>
        <v>15929.203539823</v>
      </c>
      <c r="S48" s="22" t="s">
        <v>316</v>
      </c>
      <c r="T48" s="22" t="s">
        <v>317</v>
      </c>
      <c r="U48" s="22" t="s">
        <v>318</v>
      </c>
      <c r="V48" s="22"/>
      <c r="W48" s="428"/>
    </row>
    <row r="49" spans="1:23" s="301" customFormat="1" ht="14.45" customHeight="1">
      <c r="A49" s="274" t="s">
        <v>130</v>
      </c>
      <c r="B49" s="22" t="str">
        <f>VLOOKUP(A49,[1]Sheet1!$A:$B,2,0)</f>
        <v>MODI</v>
      </c>
      <c r="C49" s="274" t="s">
        <v>122</v>
      </c>
      <c r="D49" s="44">
        <v>130040670017669</v>
      </c>
      <c r="E49" s="22" t="s">
        <v>74</v>
      </c>
      <c r="F49" s="22">
        <v>2024</v>
      </c>
      <c r="G49" s="22">
        <v>4</v>
      </c>
      <c r="H49" s="22" t="s">
        <v>325</v>
      </c>
      <c r="I49" s="258">
        <v>45608</v>
      </c>
      <c r="J49" s="262">
        <v>48</v>
      </c>
      <c r="K49" s="259"/>
      <c r="L49" s="259">
        <f t="shared" si="1"/>
        <v>0</v>
      </c>
      <c r="M49" s="259">
        <v>1000000</v>
      </c>
      <c r="N49" s="22" t="s">
        <v>299</v>
      </c>
      <c r="O49" s="258">
        <v>45394</v>
      </c>
      <c r="P49" s="273">
        <v>13539.8230088496</v>
      </c>
      <c r="Q49" s="22">
        <v>1</v>
      </c>
      <c r="R49" s="425">
        <f t="shared" si="0"/>
        <v>13539.8230088496</v>
      </c>
      <c r="S49" s="22" t="s">
        <v>316</v>
      </c>
      <c r="T49" s="22" t="s">
        <v>317</v>
      </c>
      <c r="U49" s="22" t="s">
        <v>318</v>
      </c>
      <c r="V49" s="22"/>
      <c r="W49" s="428"/>
    </row>
    <row r="50" spans="1:23" s="301" customFormat="1" ht="14.45" customHeight="1">
      <c r="A50" s="272" t="s">
        <v>113</v>
      </c>
      <c r="B50" s="22" t="str">
        <f>VLOOKUP(A50,[1]Sheet1!$A:$B,2,0)</f>
        <v>MODI</v>
      </c>
      <c r="C50" s="32" t="s">
        <v>119</v>
      </c>
      <c r="D50" s="44">
        <v>130040670039455</v>
      </c>
      <c r="E50" s="22" t="s">
        <v>74</v>
      </c>
      <c r="F50" s="22">
        <v>2024</v>
      </c>
      <c r="G50" s="22">
        <v>4</v>
      </c>
      <c r="H50" s="22" t="s">
        <v>325</v>
      </c>
      <c r="I50" s="258">
        <v>45608</v>
      </c>
      <c r="J50" s="262">
        <v>48</v>
      </c>
      <c r="K50" s="259"/>
      <c r="L50" s="259">
        <f t="shared" si="1"/>
        <v>0</v>
      </c>
      <c r="M50" s="259">
        <v>1000000</v>
      </c>
      <c r="N50" s="22" t="s">
        <v>299</v>
      </c>
      <c r="O50" s="258">
        <v>45394</v>
      </c>
      <c r="P50" s="273">
        <v>22124</v>
      </c>
      <c r="Q50" s="22">
        <v>1</v>
      </c>
      <c r="R50" s="425">
        <f t="shared" si="0"/>
        <v>22124</v>
      </c>
      <c r="S50" s="22" t="s">
        <v>316</v>
      </c>
      <c r="T50" s="22" t="s">
        <v>317</v>
      </c>
      <c r="U50" s="22" t="s">
        <v>318</v>
      </c>
      <c r="V50" s="22"/>
      <c r="W50" s="428"/>
    </row>
    <row r="51" spans="1:23" s="301" customFormat="1" ht="14.45" customHeight="1">
      <c r="A51" s="272" t="s">
        <v>113</v>
      </c>
      <c r="B51" s="22" t="str">
        <f>VLOOKUP(A51,[1]Sheet1!$A:$B,2,0)</f>
        <v>MODI</v>
      </c>
      <c r="C51" s="32" t="s">
        <v>121</v>
      </c>
      <c r="D51" s="44">
        <v>130040670039442</v>
      </c>
      <c r="E51" s="22" t="s">
        <v>74</v>
      </c>
      <c r="F51" s="22">
        <v>2024</v>
      </c>
      <c r="G51" s="22">
        <v>4</v>
      </c>
      <c r="H51" s="22" t="s">
        <v>325</v>
      </c>
      <c r="I51" s="258">
        <v>45608</v>
      </c>
      <c r="J51" s="262">
        <v>48</v>
      </c>
      <c r="K51" s="259"/>
      <c r="L51" s="259">
        <f t="shared" si="1"/>
        <v>0</v>
      </c>
      <c r="M51" s="259">
        <v>1000000</v>
      </c>
      <c r="N51" s="22" t="s">
        <v>299</v>
      </c>
      <c r="O51" s="258">
        <v>45394</v>
      </c>
      <c r="P51" s="273">
        <v>22124</v>
      </c>
      <c r="Q51" s="22">
        <v>1</v>
      </c>
      <c r="R51" s="425">
        <f t="shared" si="0"/>
        <v>22124</v>
      </c>
      <c r="S51" s="22" t="s">
        <v>316</v>
      </c>
      <c r="T51" s="22" t="s">
        <v>317</v>
      </c>
      <c r="U51" s="22" t="s">
        <v>318</v>
      </c>
      <c r="V51" s="22"/>
      <c r="W51" s="428"/>
    </row>
    <row r="52" spans="1:23" s="301" customFormat="1" ht="14.45" customHeight="1">
      <c r="A52" s="272" t="s">
        <v>127</v>
      </c>
      <c r="B52" s="22" t="str">
        <f>VLOOKUP(A52,[1]Sheet1!$A:$B,2,0)</f>
        <v>MODI</v>
      </c>
      <c r="C52" s="32" t="s">
        <v>129</v>
      </c>
      <c r="D52" s="44">
        <v>130040670017658</v>
      </c>
      <c r="E52" s="22" t="s">
        <v>74</v>
      </c>
      <c r="F52" s="22">
        <v>2024</v>
      </c>
      <c r="G52" s="22">
        <v>4</v>
      </c>
      <c r="H52" s="22" t="s">
        <v>325</v>
      </c>
      <c r="I52" s="258">
        <v>45608</v>
      </c>
      <c r="J52" s="262">
        <v>48</v>
      </c>
      <c r="K52" s="259">
        <v>2709491.2</v>
      </c>
      <c r="L52" s="259">
        <f t="shared" si="1"/>
        <v>2709491.2</v>
      </c>
      <c r="M52" s="259">
        <v>1000000</v>
      </c>
      <c r="N52" s="22" t="s">
        <v>299</v>
      </c>
      <c r="O52" s="258">
        <v>45395</v>
      </c>
      <c r="P52" s="273">
        <v>6460.1769911504398</v>
      </c>
      <c r="Q52" s="22">
        <v>1</v>
      </c>
      <c r="R52" s="425">
        <f t="shared" si="0"/>
        <v>6460.1769911504398</v>
      </c>
      <c r="S52" s="22" t="s">
        <v>316</v>
      </c>
      <c r="T52" s="22" t="s">
        <v>317</v>
      </c>
      <c r="U52" s="22" t="s">
        <v>318</v>
      </c>
      <c r="V52" s="22"/>
      <c r="W52" s="428"/>
    </row>
    <row r="53" spans="1:23" s="301" customFormat="1" ht="14.45" customHeight="1">
      <c r="A53" s="272" t="s">
        <v>130</v>
      </c>
      <c r="B53" s="22" t="str">
        <f>VLOOKUP(A53,[1]Sheet1!$A:$B,2,0)</f>
        <v>MODI</v>
      </c>
      <c r="C53" s="32" t="s">
        <v>132</v>
      </c>
      <c r="D53" s="44">
        <v>130040670024534</v>
      </c>
      <c r="E53" s="22" t="s">
        <v>74</v>
      </c>
      <c r="F53" s="22">
        <v>2024</v>
      </c>
      <c r="G53" s="22">
        <v>4</v>
      </c>
      <c r="H53" s="22" t="s">
        <v>325</v>
      </c>
      <c r="I53" s="258">
        <v>45608</v>
      </c>
      <c r="J53" s="262">
        <v>48</v>
      </c>
      <c r="K53" s="259">
        <v>2935296</v>
      </c>
      <c r="L53" s="259">
        <f t="shared" si="1"/>
        <v>2935296</v>
      </c>
      <c r="M53" s="259">
        <v>1000000</v>
      </c>
      <c r="N53" s="22" t="s">
        <v>299</v>
      </c>
      <c r="O53" s="258">
        <v>45395</v>
      </c>
      <c r="P53" s="273">
        <v>5752.2123893805301</v>
      </c>
      <c r="Q53" s="22">
        <v>1</v>
      </c>
      <c r="R53" s="425">
        <f t="shared" si="0"/>
        <v>5752.2123893805301</v>
      </c>
      <c r="S53" s="22" t="s">
        <v>316</v>
      </c>
      <c r="T53" s="22" t="s">
        <v>317</v>
      </c>
      <c r="U53" s="22" t="s">
        <v>318</v>
      </c>
      <c r="V53" s="22"/>
      <c r="W53" s="430" t="s">
        <v>330</v>
      </c>
    </row>
    <row r="54" spans="1:23" s="301" customFormat="1" ht="14.45" customHeight="1">
      <c r="A54" s="274" t="s">
        <v>18</v>
      </c>
      <c r="B54" s="22" t="str">
        <f>VLOOKUP(A54,[1]Sheet1!$A:$B,2,0)</f>
        <v>RCS POD</v>
      </c>
      <c r="C54" s="37" t="s">
        <v>100</v>
      </c>
      <c r="D54" s="44">
        <v>130040670029868</v>
      </c>
      <c r="E54" s="22" t="s">
        <v>74</v>
      </c>
      <c r="F54" s="22">
        <v>2024</v>
      </c>
      <c r="G54" s="22">
        <v>4</v>
      </c>
      <c r="H54" s="22" t="s">
        <v>325</v>
      </c>
      <c r="I54" s="258">
        <v>45608</v>
      </c>
      <c r="J54" s="262">
        <v>32</v>
      </c>
      <c r="K54" s="305">
        <v>1797120</v>
      </c>
      <c r="L54" s="259">
        <f t="shared" si="1"/>
        <v>1797120</v>
      </c>
      <c r="M54" s="259">
        <v>1000000</v>
      </c>
      <c r="N54" s="22" t="s">
        <v>299</v>
      </c>
      <c r="O54" s="258">
        <v>45398</v>
      </c>
      <c r="P54" s="273">
        <v>23451</v>
      </c>
      <c r="Q54" s="22">
        <v>1</v>
      </c>
      <c r="R54" s="425">
        <f t="shared" si="0"/>
        <v>23451</v>
      </c>
      <c r="S54" s="22" t="s">
        <v>316</v>
      </c>
      <c r="T54" s="22" t="s">
        <v>317</v>
      </c>
      <c r="U54" s="22" t="s">
        <v>318</v>
      </c>
      <c r="V54" s="22"/>
      <c r="W54" s="428"/>
    </row>
    <row r="55" spans="1:23" s="301" customFormat="1" ht="14.45" customHeight="1">
      <c r="A55" s="272" t="s">
        <v>125</v>
      </c>
      <c r="B55" s="22" t="str">
        <f>VLOOKUP(A55,[1]Sheet1!$A:$B,2,0)</f>
        <v>MODI</v>
      </c>
      <c r="C55" s="272" t="s">
        <v>104</v>
      </c>
      <c r="D55" s="44">
        <v>130040670021246</v>
      </c>
      <c r="E55" s="22" t="s">
        <v>74</v>
      </c>
      <c r="F55" s="22">
        <v>2024</v>
      </c>
      <c r="G55" s="22">
        <v>4</v>
      </c>
      <c r="H55" s="22" t="s">
        <v>325</v>
      </c>
      <c r="I55" s="258">
        <v>45608</v>
      </c>
      <c r="J55" s="262">
        <v>48</v>
      </c>
      <c r="K55" s="259">
        <v>2737152</v>
      </c>
      <c r="L55" s="259">
        <f t="shared" si="1"/>
        <v>2737152</v>
      </c>
      <c r="M55" s="259">
        <v>1000000</v>
      </c>
      <c r="N55" s="22" t="s">
        <v>299</v>
      </c>
      <c r="O55" s="258">
        <v>45398</v>
      </c>
      <c r="P55" s="273">
        <v>11272.5663716814</v>
      </c>
      <c r="Q55" s="22">
        <v>1</v>
      </c>
      <c r="R55" s="425">
        <f t="shared" si="0"/>
        <v>11272.5663716814</v>
      </c>
      <c r="S55" s="22" t="s">
        <v>316</v>
      </c>
      <c r="T55" s="22" t="s">
        <v>317</v>
      </c>
      <c r="U55" s="22" t="s">
        <v>318</v>
      </c>
      <c r="V55" s="22"/>
      <c r="W55" s="428"/>
    </row>
    <row r="56" spans="1:23" s="301" customFormat="1" ht="14.45" customHeight="1">
      <c r="A56" s="274" t="s">
        <v>113</v>
      </c>
      <c r="B56" s="22" t="str">
        <f>VLOOKUP(A56,[1]Sheet1!$A:$B,2,0)</f>
        <v>MODI</v>
      </c>
      <c r="C56" s="32" t="s">
        <v>114</v>
      </c>
      <c r="D56" s="44">
        <v>130040670023899</v>
      </c>
      <c r="E56" s="22" t="s">
        <v>74</v>
      </c>
      <c r="F56" s="22">
        <v>2024</v>
      </c>
      <c r="G56" s="22">
        <v>4</v>
      </c>
      <c r="H56" s="22" t="s">
        <v>325</v>
      </c>
      <c r="I56" s="258">
        <v>45608</v>
      </c>
      <c r="J56" s="262">
        <v>2</v>
      </c>
      <c r="K56" s="259"/>
      <c r="L56" s="259">
        <f t="shared" si="1"/>
        <v>0</v>
      </c>
      <c r="M56" s="259">
        <v>50000</v>
      </c>
      <c r="N56" s="22" t="s">
        <v>297</v>
      </c>
      <c r="O56" s="258">
        <v>45398</v>
      </c>
      <c r="P56" s="273">
        <v>3362.8318584070798</v>
      </c>
      <c r="Q56" s="22">
        <v>1</v>
      </c>
      <c r="R56" s="425">
        <f t="shared" si="0"/>
        <v>3362.8318584070798</v>
      </c>
      <c r="S56" s="22" t="s">
        <v>316</v>
      </c>
      <c r="T56" s="22" t="s">
        <v>317</v>
      </c>
      <c r="U56" s="22" t="s">
        <v>318</v>
      </c>
      <c r="V56" s="22"/>
      <c r="W56" s="428"/>
    </row>
    <row r="57" spans="1:23" s="301" customFormat="1" ht="14.45" customHeight="1">
      <c r="A57" s="274" t="s">
        <v>153</v>
      </c>
      <c r="B57" s="22" t="str">
        <f>VLOOKUP(A57,[1]Sheet1!$A:$B,2,0)</f>
        <v>MODI</v>
      </c>
      <c r="C57" s="32" t="s">
        <v>112</v>
      </c>
      <c r="D57" s="44">
        <v>130040670043029</v>
      </c>
      <c r="E57" s="22" t="s">
        <v>74</v>
      </c>
      <c r="F57" s="22">
        <v>2024</v>
      </c>
      <c r="G57" s="22">
        <v>4</v>
      </c>
      <c r="H57" s="22" t="s">
        <v>325</v>
      </c>
      <c r="I57" s="258">
        <v>45608</v>
      </c>
      <c r="J57" s="262">
        <v>2</v>
      </c>
      <c r="K57" s="259"/>
      <c r="L57" s="259">
        <f t="shared" si="1"/>
        <v>0</v>
      </c>
      <c r="M57" s="259">
        <v>50000</v>
      </c>
      <c r="N57" s="22" t="s">
        <v>297</v>
      </c>
      <c r="O57" s="258">
        <v>45401</v>
      </c>
      <c r="P57" s="273">
        <v>2212.3893805309699</v>
      </c>
      <c r="Q57" s="22">
        <v>1</v>
      </c>
      <c r="R57" s="425">
        <f t="shared" si="0"/>
        <v>2212.3893805309699</v>
      </c>
      <c r="S57" s="22" t="s">
        <v>316</v>
      </c>
      <c r="T57" s="22" t="s">
        <v>317</v>
      </c>
      <c r="U57" s="22" t="s">
        <v>318</v>
      </c>
      <c r="V57" s="22"/>
      <c r="W57" s="428"/>
    </row>
    <row r="58" spans="1:23" s="301" customFormat="1" ht="14.45" customHeight="1">
      <c r="A58" s="272" t="s">
        <v>113</v>
      </c>
      <c r="B58" s="22" t="str">
        <f>VLOOKUP(A58,[1]Sheet1!$A:$B,2,0)</f>
        <v>MODI</v>
      </c>
      <c r="C58" s="32" t="s">
        <v>121</v>
      </c>
      <c r="D58" s="44">
        <v>130040670039442</v>
      </c>
      <c r="E58" s="22" t="s">
        <v>74</v>
      </c>
      <c r="F58" s="22">
        <v>2024</v>
      </c>
      <c r="G58" s="22">
        <v>4</v>
      </c>
      <c r="H58" s="22" t="s">
        <v>325</v>
      </c>
      <c r="I58" s="258">
        <v>45608</v>
      </c>
      <c r="J58" s="262">
        <v>48</v>
      </c>
      <c r="K58" s="259"/>
      <c r="L58" s="259">
        <f t="shared" si="1"/>
        <v>0</v>
      </c>
      <c r="M58" s="259">
        <v>1000000</v>
      </c>
      <c r="N58" s="22" t="s">
        <v>299</v>
      </c>
      <c r="O58" s="258">
        <v>45401</v>
      </c>
      <c r="P58" s="273">
        <v>22123.893805309701</v>
      </c>
      <c r="Q58" s="22">
        <v>1</v>
      </c>
      <c r="R58" s="425">
        <f t="shared" si="0"/>
        <v>22123.893805309701</v>
      </c>
      <c r="S58" s="22" t="s">
        <v>316</v>
      </c>
      <c r="T58" s="22" t="s">
        <v>317</v>
      </c>
      <c r="U58" s="22" t="s">
        <v>318</v>
      </c>
      <c r="V58" s="22"/>
      <c r="W58" s="428"/>
    </row>
    <row r="59" spans="1:23" s="301" customFormat="1" ht="14.45" customHeight="1">
      <c r="A59" s="272" t="s">
        <v>113</v>
      </c>
      <c r="B59" s="22" t="str">
        <f>VLOOKUP(A59,[1]Sheet1!$A:$B,2,0)</f>
        <v>MODI</v>
      </c>
      <c r="C59" s="32" t="s">
        <v>119</v>
      </c>
      <c r="D59" s="44">
        <v>130040670039455</v>
      </c>
      <c r="E59" s="22" t="s">
        <v>74</v>
      </c>
      <c r="F59" s="22">
        <v>2024</v>
      </c>
      <c r="G59" s="22">
        <v>4</v>
      </c>
      <c r="H59" s="22" t="s">
        <v>325</v>
      </c>
      <c r="I59" s="258">
        <v>45608</v>
      </c>
      <c r="J59" s="262">
        <v>48</v>
      </c>
      <c r="K59" s="259"/>
      <c r="L59" s="259">
        <f t="shared" si="1"/>
        <v>0</v>
      </c>
      <c r="M59" s="259">
        <v>1000000</v>
      </c>
      <c r="N59" s="22" t="s">
        <v>299</v>
      </c>
      <c r="O59" s="258">
        <v>45401</v>
      </c>
      <c r="P59" s="273">
        <v>22123.893805309701</v>
      </c>
      <c r="Q59" s="22">
        <v>1</v>
      </c>
      <c r="R59" s="425">
        <f t="shared" si="0"/>
        <v>22123.893805309701</v>
      </c>
      <c r="S59" s="22" t="s">
        <v>316</v>
      </c>
      <c r="T59" s="22" t="s">
        <v>317</v>
      </c>
      <c r="U59" s="22" t="s">
        <v>318</v>
      </c>
      <c r="V59" s="22"/>
      <c r="W59" s="428"/>
    </row>
    <row r="60" spans="1:23" s="301" customFormat="1" ht="14.45" customHeight="1">
      <c r="A60" s="274" t="s">
        <v>331</v>
      </c>
      <c r="B60" s="22" t="str">
        <f>VLOOKUP(A60,[1]Sheet1!$A:$B,2,0)</f>
        <v>RCS POD</v>
      </c>
      <c r="C60" s="274" t="s">
        <v>332</v>
      </c>
      <c r="D60" s="44">
        <v>130010670061767</v>
      </c>
      <c r="E60" s="22" t="s">
        <v>74</v>
      </c>
      <c r="F60" s="22">
        <v>2024</v>
      </c>
      <c r="G60" s="22">
        <v>4</v>
      </c>
      <c r="H60" s="22" t="s">
        <v>315</v>
      </c>
      <c r="I60" s="258">
        <v>45608</v>
      </c>
      <c r="J60" s="262">
        <v>2</v>
      </c>
      <c r="K60" s="259"/>
      <c r="L60" s="259">
        <f t="shared" si="1"/>
        <v>0</v>
      </c>
      <c r="M60" s="259">
        <v>50000</v>
      </c>
      <c r="N60" s="22" t="s">
        <v>296</v>
      </c>
      <c r="O60" s="258">
        <v>45406</v>
      </c>
      <c r="P60" s="273">
        <v>132809.73451327399</v>
      </c>
      <c r="Q60" s="22">
        <v>1</v>
      </c>
      <c r="R60" s="425">
        <f t="shared" ref="R60:R114" si="2">P60*Q60</f>
        <v>132809.73451327399</v>
      </c>
      <c r="S60" s="22" t="s">
        <v>316</v>
      </c>
      <c r="T60" s="22" t="s">
        <v>317</v>
      </c>
      <c r="U60" s="22" t="s">
        <v>318</v>
      </c>
      <c r="V60" s="22"/>
      <c r="W60" s="428"/>
    </row>
    <row r="61" spans="1:23" s="301" customFormat="1" ht="14.45" customHeight="1">
      <c r="A61" s="274" t="s">
        <v>331</v>
      </c>
      <c r="B61" s="22" t="str">
        <f>VLOOKUP(A61,[1]Sheet1!$A:$B,2,0)</f>
        <v>RCS POD</v>
      </c>
      <c r="C61" s="274" t="s">
        <v>105</v>
      </c>
      <c r="D61" s="44">
        <v>130010670062041</v>
      </c>
      <c r="E61" s="22" t="s">
        <v>74</v>
      </c>
      <c r="F61" s="22">
        <v>2024</v>
      </c>
      <c r="G61" s="22">
        <v>4</v>
      </c>
      <c r="H61" s="22" t="s">
        <v>315</v>
      </c>
      <c r="I61" s="258">
        <v>45608</v>
      </c>
      <c r="J61" s="262">
        <v>2</v>
      </c>
      <c r="K61" s="259"/>
      <c r="L61" s="259">
        <f t="shared" ref="L61:L119" si="3">K61*Q61</f>
        <v>0</v>
      </c>
      <c r="M61" s="259">
        <v>50000</v>
      </c>
      <c r="N61" s="22" t="s">
        <v>296</v>
      </c>
      <c r="O61" s="258">
        <v>45406</v>
      </c>
      <c r="P61" s="273">
        <v>132809.73451327399</v>
      </c>
      <c r="Q61" s="22">
        <v>1</v>
      </c>
      <c r="R61" s="425">
        <f t="shared" si="2"/>
        <v>132809.73451327399</v>
      </c>
      <c r="S61" s="22" t="s">
        <v>316</v>
      </c>
      <c r="T61" s="22" t="s">
        <v>317</v>
      </c>
      <c r="U61" s="22" t="s">
        <v>318</v>
      </c>
      <c r="V61" s="22"/>
      <c r="W61" s="428"/>
    </row>
    <row r="62" spans="1:23" s="301" customFormat="1" ht="14.45" customHeight="1">
      <c r="A62" s="274" t="s">
        <v>331</v>
      </c>
      <c r="B62" s="22" t="str">
        <f>VLOOKUP(A62,[1]Sheet1!$A:$B,2,0)</f>
        <v>RCS POD</v>
      </c>
      <c r="C62" s="274" t="s">
        <v>333</v>
      </c>
      <c r="D62" s="44">
        <v>130010670061770</v>
      </c>
      <c r="E62" s="22" t="s">
        <v>74</v>
      </c>
      <c r="F62" s="22">
        <v>2024</v>
      </c>
      <c r="G62" s="22">
        <v>4</v>
      </c>
      <c r="H62" s="22" t="s">
        <v>315</v>
      </c>
      <c r="I62" s="258">
        <v>45608</v>
      </c>
      <c r="J62" s="262">
        <v>2</v>
      </c>
      <c r="K62" s="259"/>
      <c r="L62" s="259">
        <f t="shared" si="3"/>
        <v>0</v>
      </c>
      <c r="M62" s="259">
        <v>50000</v>
      </c>
      <c r="N62" s="22" t="s">
        <v>296</v>
      </c>
      <c r="O62" s="258">
        <v>45406</v>
      </c>
      <c r="P62" s="273">
        <v>93100.000000000015</v>
      </c>
      <c r="Q62" s="22">
        <v>1</v>
      </c>
      <c r="R62" s="425">
        <f t="shared" si="2"/>
        <v>93100.000000000015</v>
      </c>
      <c r="S62" s="22" t="s">
        <v>316</v>
      </c>
      <c r="T62" s="22" t="s">
        <v>317</v>
      </c>
      <c r="U62" s="22" t="s">
        <v>318</v>
      </c>
      <c r="V62" s="22"/>
      <c r="W62" s="428"/>
    </row>
    <row r="63" spans="1:23" s="301" customFormat="1" ht="14.45" customHeight="1">
      <c r="A63" s="274" t="s">
        <v>130</v>
      </c>
      <c r="B63" s="22" t="str">
        <f>VLOOKUP(A63,[1]Sheet1!$A:$B,2,0)</f>
        <v>MODI</v>
      </c>
      <c r="C63" s="274" t="s">
        <v>122</v>
      </c>
      <c r="D63" s="44">
        <v>130040670017669</v>
      </c>
      <c r="E63" s="22" t="s">
        <v>74</v>
      </c>
      <c r="F63" s="22">
        <v>2024</v>
      </c>
      <c r="G63" s="22">
        <v>4</v>
      </c>
      <c r="H63" s="22" t="s">
        <v>325</v>
      </c>
      <c r="I63" s="258">
        <v>45608</v>
      </c>
      <c r="J63" s="262">
        <v>48</v>
      </c>
      <c r="K63" s="259"/>
      <c r="L63" s="259">
        <f t="shared" si="3"/>
        <v>0</v>
      </c>
      <c r="M63" s="259">
        <v>1000000</v>
      </c>
      <c r="N63" s="22" t="s">
        <v>299</v>
      </c>
      <c r="O63" s="258">
        <v>45411</v>
      </c>
      <c r="P63" s="273">
        <v>25663.716814159299</v>
      </c>
      <c r="Q63" s="22">
        <v>1</v>
      </c>
      <c r="R63" s="425">
        <f t="shared" si="2"/>
        <v>25663.716814159299</v>
      </c>
      <c r="S63" s="22" t="s">
        <v>316</v>
      </c>
      <c r="T63" s="22" t="s">
        <v>317</v>
      </c>
      <c r="U63" s="22" t="s">
        <v>318</v>
      </c>
      <c r="V63" s="22"/>
      <c r="W63" s="428"/>
    </row>
    <row r="64" spans="1:23" s="301" customFormat="1" ht="14.45" customHeight="1">
      <c r="A64" s="274" t="s">
        <v>130</v>
      </c>
      <c r="B64" s="22" t="str">
        <f>VLOOKUP(A64,[1]Sheet1!$A:$B,2,0)</f>
        <v>MODI</v>
      </c>
      <c r="C64" s="274" t="s">
        <v>122</v>
      </c>
      <c r="D64" s="44">
        <v>130040670017669</v>
      </c>
      <c r="E64" s="22" t="s">
        <v>74</v>
      </c>
      <c r="F64" s="22">
        <v>2024</v>
      </c>
      <c r="G64" s="22">
        <v>5</v>
      </c>
      <c r="H64" s="22" t="s">
        <v>325</v>
      </c>
      <c r="I64" s="258">
        <v>45608</v>
      </c>
      <c r="J64" s="262">
        <v>48</v>
      </c>
      <c r="K64" s="259"/>
      <c r="L64" s="259">
        <f t="shared" si="3"/>
        <v>0</v>
      </c>
      <c r="M64" s="259">
        <v>1000000</v>
      </c>
      <c r="N64" s="22" t="s">
        <v>299</v>
      </c>
      <c r="O64" s="258">
        <v>45421</v>
      </c>
      <c r="P64" s="273">
        <v>10176.9911504425</v>
      </c>
      <c r="Q64" s="22">
        <v>1</v>
      </c>
      <c r="R64" s="425">
        <f t="shared" si="2"/>
        <v>10176.9911504425</v>
      </c>
      <c r="S64" s="22" t="s">
        <v>316</v>
      </c>
      <c r="T64" s="22" t="s">
        <v>317</v>
      </c>
      <c r="U64" s="22" t="s">
        <v>318</v>
      </c>
      <c r="V64" s="22"/>
      <c r="W64" s="428"/>
    </row>
    <row r="65" spans="1:23" s="301" customFormat="1" ht="14.45" customHeight="1">
      <c r="A65" s="274" t="s">
        <v>18</v>
      </c>
      <c r="B65" s="22" t="str">
        <f>VLOOKUP(A65,[1]Sheet1!$A:$B,2,0)</f>
        <v>RCS POD</v>
      </c>
      <c r="C65" s="37" t="s">
        <v>104</v>
      </c>
      <c r="D65" s="44">
        <v>130040670020899</v>
      </c>
      <c r="E65" s="22" t="s">
        <v>74</v>
      </c>
      <c r="F65" s="22">
        <v>2024</v>
      </c>
      <c r="G65" s="22">
        <v>5</v>
      </c>
      <c r="H65" s="22" t="s">
        <v>325</v>
      </c>
      <c r="I65" s="258">
        <v>45608</v>
      </c>
      <c r="J65" s="262">
        <v>48</v>
      </c>
      <c r="K65" s="305">
        <v>2965248</v>
      </c>
      <c r="L65" s="259">
        <f t="shared" si="3"/>
        <v>2965248</v>
      </c>
      <c r="M65" s="259">
        <v>1000000</v>
      </c>
      <c r="N65" s="22" t="s">
        <v>299</v>
      </c>
      <c r="O65" s="258">
        <v>45428</v>
      </c>
      <c r="P65" s="273">
        <v>86283.185840708</v>
      </c>
      <c r="Q65" s="22">
        <v>1</v>
      </c>
      <c r="R65" s="425">
        <f t="shared" si="2"/>
        <v>86283.185840708</v>
      </c>
      <c r="S65" s="22" t="s">
        <v>316</v>
      </c>
      <c r="T65" s="22" t="s">
        <v>317</v>
      </c>
      <c r="U65" s="22" t="s">
        <v>318</v>
      </c>
      <c r="V65" s="22"/>
      <c r="W65" s="428"/>
    </row>
    <row r="66" spans="1:23" s="301" customFormat="1" ht="14.45" customHeight="1">
      <c r="A66" s="274" t="s">
        <v>331</v>
      </c>
      <c r="B66" s="22" t="str">
        <f>VLOOKUP(A66,[1]Sheet1!$A:$B,2,0)</f>
        <v>RCS POD</v>
      </c>
      <c r="C66" s="274" t="s">
        <v>105</v>
      </c>
      <c r="D66" s="44">
        <v>130010670062041</v>
      </c>
      <c r="E66" s="22" t="s">
        <v>74</v>
      </c>
      <c r="F66" s="22">
        <v>2024</v>
      </c>
      <c r="G66" s="22">
        <v>5</v>
      </c>
      <c r="H66" s="22" t="s">
        <v>315</v>
      </c>
      <c r="I66" s="258">
        <v>45608</v>
      </c>
      <c r="J66" s="262">
        <v>2</v>
      </c>
      <c r="K66" s="259"/>
      <c r="L66" s="259">
        <f t="shared" si="3"/>
        <v>0</v>
      </c>
      <c r="M66" s="259">
        <v>50000</v>
      </c>
      <c r="N66" s="22" t="s">
        <v>297</v>
      </c>
      <c r="O66" s="258">
        <v>45428</v>
      </c>
      <c r="P66" s="273">
        <v>6902.6548672566396</v>
      </c>
      <c r="Q66" s="22">
        <v>1</v>
      </c>
      <c r="R66" s="425">
        <f t="shared" si="2"/>
        <v>6902.6548672566396</v>
      </c>
      <c r="S66" s="22" t="s">
        <v>316</v>
      </c>
      <c r="T66" s="22" t="s">
        <v>317</v>
      </c>
      <c r="U66" s="22" t="s">
        <v>318</v>
      </c>
      <c r="V66" s="22"/>
      <c r="W66" s="428"/>
    </row>
    <row r="67" spans="1:23" s="301" customFormat="1" ht="14.45" customHeight="1">
      <c r="A67" s="274" t="s">
        <v>130</v>
      </c>
      <c r="B67" s="22" t="str">
        <f>VLOOKUP(A67,[1]Sheet1!$A:$B,2,0)</f>
        <v>MODI</v>
      </c>
      <c r="C67" s="274" t="s">
        <v>122</v>
      </c>
      <c r="D67" s="44">
        <v>130040670017669</v>
      </c>
      <c r="E67" s="22" t="s">
        <v>74</v>
      </c>
      <c r="F67" s="22">
        <v>2024</v>
      </c>
      <c r="G67" s="22">
        <v>5</v>
      </c>
      <c r="H67" s="22" t="s">
        <v>325</v>
      </c>
      <c r="I67" s="258">
        <v>45608</v>
      </c>
      <c r="J67" s="262">
        <v>48</v>
      </c>
      <c r="K67" s="259"/>
      <c r="L67" s="259">
        <f t="shared" si="3"/>
        <v>0</v>
      </c>
      <c r="M67" s="259">
        <v>1000000</v>
      </c>
      <c r="N67" s="22" t="s">
        <v>299</v>
      </c>
      <c r="O67" s="258">
        <v>45441</v>
      </c>
      <c r="P67" s="273">
        <v>13539.8230088496</v>
      </c>
      <c r="Q67" s="22">
        <v>1</v>
      </c>
      <c r="R67" s="425">
        <f t="shared" si="2"/>
        <v>13539.8230088496</v>
      </c>
      <c r="S67" s="22" t="s">
        <v>316</v>
      </c>
      <c r="T67" s="22" t="s">
        <v>317</v>
      </c>
      <c r="U67" s="22" t="s">
        <v>318</v>
      </c>
      <c r="V67" s="22"/>
      <c r="W67" s="428"/>
    </row>
    <row r="68" spans="1:23" s="301" customFormat="1" ht="14.45" customHeight="1">
      <c r="A68" s="274" t="s">
        <v>331</v>
      </c>
      <c r="B68" s="22" t="str">
        <f>VLOOKUP(A68,[1]Sheet1!$A:$B,2,0)</f>
        <v>RCS POD</v>
      </c>
      <c r="C68" s="274" t="s">
        <v>332</v>
      </c>
      <c r="D68" s="44">
        <v>130010670061767</v>
      </c>
      <c r="E68" s="22" t="s">
        <v>74</v>
      </c>
      <c r="F68" s="22">
        <v>2024</v>
      </c>
      <c r="G68" s="22">
        <v>6</v>
      </c>
      <c r="H68" s="22" t="s">
        <v>315</v>
      </c>
      <c r="I68" s="258">
        <v>45608</v>
      </c>
      <c r="J68" s="262">
        <v>2</v>
      </c>
      <c r="K68" s="259"/>
      <c r="L68" s="259">
        <f t="shared" si="3"/>
        <v>0</v>
      </c>
      <c r="M68" s="259">
        <v>50000</v>
      </c>
      <c r="N68" s="22" t="s">
        <v>297</v>
      </c>
      <c r="O68" s="258">
        <v>45449</v>
      </c>
      <c r="P68" s="273">
        <v>23362.831858407098</v>
      </c>
      <c r="Q68" s="22">
        <v>1</v>
      </c>
      <c r="R68" s="425">
        <f t="shared" si="2"/>
        <v>23362.831858407098</v>
      </c>
      <c r="S68" s="22" t="s">
        <v>316</v>
      </c>
      <c r="T68" s="22" t="s">
        <v>317</v>
      </c>
      <c r="U68" s="22" t="s">
        <v>318</v>
      </c>
      <c r="V68" s="22"/>
      <c r="W68" s="428"/>
    </row>
    <row r="69" spans="1:23" s="301" customFormat="1" ht="14.45" customHeight="1">
      <c r="A69" s="274" t="s">
        <v>331</v>
      </c>
      <c r="B69" s="22" t="str">
        <f>VLOOKUP(A69,[1]Sheet1!$A:$B,2,0)</f>
        <v>RCS POD</v>
      </c>
      <c r="C69" s="274" t="s">
        <v>105</v>
      </c>
      <c r="D69" s="44">
        <v>130010670062041</v>
      </c>
      <c r="E69" s="22" t="s">
        <v>74</v>
      </c>
      <c r="F69" s="22">
        <v>2024</v>
      </c>
      <c r="G69" s="22">
        <v>6</v>
      </c>
      <c r="H69" s="22" t="s">
        <v>315</v>
      </c>
      <c r="I69" s="258">
        <v>45608</v>
      </c>
      <c r="J69" s="262">
        <v>2</v>
      </c>
      <c r="K69" s="259"/>
      <c r="L69" s="259">
        <f t="shared" si="3"/>
        <v>0</v>
      </c>
      <c r="M69" s="259">
        <v>50000</v>
      </c>
      <c r="N69" s="22" t="s">
        <v>297</v>
      </c>
      <c r="O69" s="258">
        <v>45464</v>
      </c>
      <c r="P69" s="273">
        <v>38318.584070796504</v>
      </c>
      <c r="Q69" s="22">
        <v>1</v>
      </c>
      <c r="R69" s="425">
        <f t="shared" si="2"/>
        <v>38318.584070796504</v>
      </c>
      <c r="S69" s="22" t="s">
        <v>316</v>
      </c>
      <c r="T69" s="22" t="s">
        <v>317</v>
      </c>
      <c r="U69" s="22" t="s">
        <v>318</v>
      </c>
      <c r="V69" s="22"/>
      <c r="W69" s="428"/>
    </row>
    <row r="70" spans="1:23" s="301" customFormat="1" ht="14.45" customHeight="1">
      <c r="A70" s="274" t="s">
        <v>331</v>
      </c>
      <c r="B70" s="22" t="str">
        <f>VLOOKUP(A70,[1]Sheet1!$A:$B,2,0)</f>
        <v>RCS POD</v>
      </c>
      <c r="C70" s="274" t="s">
        <v>332</v>
      </c>
      <c r="D70" s="44">
        <v>130010670061767</v>
      </c>
      <c r="E70" s="22" t="s">
        <v>74</v>
      </c>
      <c r="F70" s="22">
        <v>2024</v>
      </c>
      <c r="G70" s="22">
        <v>6</v>
      </c>
      <c r="H70" s="22" t="s">
        <v>315</v>
      </c>
      <c r="I70" s="258">
        <v>45608</v>
      </c>
      <c r="J70" s="262">
        <v>2</v>
      </c>
      <c r="K70" s="259"/>
      <c r="L70" s="259">
        <f t="shared" si="3"/>
        <v>0</v>
      </c>
      <c r="M70" s="259">
        <v>50000</v>
      </c>
      <c r="N70" s="22" t="s">
        <v>297</v>
      </c>
      <c r="O70" s="258">
        <v>45464</v>
      </c>
      <c r="P70" s="273">
        <v>5221.2389380531004</v>
      </c>
      <c r="Q70" s="22">
        <v>1</v>
      </c>
      <c r="R70" s="425">
        <f t="shared" si="2"/>
        <v>5221.2389380531004</v>
      </c>
      <c r="S70" s="22" t="s">
        <v>316</v>
      </c>
      <c r="T70" s="22" t="s">
        <v>317</v>
      </c>
      <c r="U70" s="22" t="s">
        <v>318</v>
      </c>
      <c r="V70" s="22"/>
      <c r="W70" s="428"/>
    </row>
    <row r="71" spans="1:23" s="301" customFormat="1" ht="14.45" customHeight="1">
      <c r="A71" s="274" t="s">
        <v>331</v>
      </c>
      <c r="B71" s="22" t="str">
        <f>VLOOKUP(A71,[1]Sheet1!$A:$B,2,0)</f>
        <v>RCS POD</v>
      </c>
      <c r="C71" s="274" t="s">
        <v>105</v>
      </c>
      <c r="D71" s="44">
        <v>130010670062041</v>
      </c>
      <c r="E71" s="22" t="s">
        <v>74</v>
      </c>
      <c r="F71" s="22">
        <v>2024</v>
      </c>
      <c r="G71" s="22">
        <v>7</v>
      </c>
      <c r="H71" s="22" t="s">
        <v>315</v>
      </c>
      <c r="I71" s="258">
        <v>45608</v>
      </c>
      <c r="J71" s="262">
        <v>2</v>
      </c>
      <c r="K71" s="259"/>
      <c r="L71" s="259">
        <f t="shared" si="3"/>
        <v>0</v>
      </c>
      <c r="M71" s="259">
        <v>50000</v>
      </c>
      <c r="N71" s="22" t="s">
        <v>297</v>
      </c>
      <c r="O71" s="258">
        <v>45481</v>
      </c>
      <c r="P71" s="273">
        <v>3495.5752212389384</v>
      </c>
      <c r="Q71" s="22">
        <v>1</v>
      </c>
      <c r="R71" s="425">
        <f t="shared" si="2"/>
        <v>3495.5752212389384</v>
      </c>
      <c r="S71" s="22" t="s">
        <v>316</v>
      </c>
      <c r="T71" s="22" t="s">
        <v>317</v>
      </c>
      <c r="U71" s="22" t="s">
        <v>318</v>
      </c>
      <c r="V71" s="22"/>
      <c r="W71" s="428"/>
    </row>
    <row r="72" spans="1:23" s="301" customFormat="1" ht="14.45" customHeight="1">
      <c r="A72" s="263" t="s">
        <v>130</v>
      </c>
      <c r="B72" s="22" t="str">
        <f>VLOOKUP(A72,[1]Sheet1!$A:$B,2,0)</f>
        <v>MODI</v>
      </c>
      <c r="C72" s="32" t="s">
        <v>108</v>
      </c>
      <c r="D72" s="44">
        <v>130040670023448</v>
      </c>
      <c r="E72" s="22" t="s">
        <v>74</v>
      </c>
      <c r="F72" s="22">
        <v>2024</v>
      </c>
      <c r="G72" s="22">
        <v>5</v>
      </c>
      <c r="H72" s="22" t="s">
        <v>325</v>
      </c>
      <c r="I72" s="258">
        <v>45608</v>
      </c>
      <c r="J72" s="262">
        <v>2</v>
      </c>
      <c r="K72" s="259"/>
      <c r="L72" s="259">
        <f t="shared" si="3"/>
        <v>0</v>
      </c>
      <c r="M72" s="259">
        <v>50000</v>
      </c>
      <c r="N72" s="22" t="s">
        <v>297</v>
      </c>
      <c r="O72" s="258">
        <v>45441</v>
      </c>
      <c r="P72" s="273">
        <v>10176.991150442478</v>
      </c>
      <c r="Q72" s="22">
        <v>1</v>
      </c>
      <c r="R72" s="425">
        <f t="shared" si="2"/>
        <v>10176.991150442478</v>
      </c>
      <c r="S72" s="22" t="s">
        <v>316</v>
      </c>
      <c r="T72" s="22" t="s">
        <v>317</v>
      </c>
      <c r="U72" s="22" t="s">
        <v>318</v>
      </c>
      <c r="V72" s="22"/>
      <c r="W72" s="428"/>
    </row>
    <row r="73" spans="1:23" s="301" customFormat="1" ht="14.45" customHeight="1">
      <c r="A73" s="263" t="s">
        <v>130</v>
      </c>
      <c r="B73" s="22" t="str">
        <f>VLOOKUP(A73,[1]Sheet1!$A:$B,2,0)</f>
        <v>MODI</v>
      </c>
      <c r="C73" s="32" t="s">
        <v>104</v>
      </c>
      <c r="D73" s="44">
        <v>130040670023445</v>
      </c>
      <c r="E73" s="22" t="s">
        <v>74</v>
      </c>
      <c r="F73" s="22">
        <v>2024</v>
      </c>
      <c r="G73" s="22">
        <v>7</v>
      </c>
      <c r="H73" s="22" t="s">
        <v>325</v>
      </c>
      <c r="I73" s="258">
        <v>45608</v>
      </c>
      <c r="J73" s="262">
        <v>2</v>
      </c>
      <c r="K73" s="259"/>
      <c r="L73" s="259">
        <f t="shared" si="3"/>
        <v>0</v>
      </c>
      <c r="M73" s="259">
        <v>50000</v>
      </c>
      <c r="N73" s="22" t="s">
        <v>297</v>
      </c>
      <c r="O73" s="258">
        <v>45502</v>
      </c>
      <c r="P73" s="273">
        <v>3645.1327433628321</v>
      </c>
      <c r="Q73" s="22">
        <v>1</v>
      </c>
      <c r="R73" s="425">
        <f t="shared" si="2"/>
        <v>3645.1327433628321</v>
      </c>
      <c r="S73" s="22" t="s">
        <v>316</v>
      </c>
      <c r="T73" s="22" t="s">
        <v>317</v>
      </c>
      <c r="U73" s="22" t="s">
        <v>318</v>
      </c>
      <c r="V73" s="22"/>
      <c r="W73" s="428"/>
    </row>
    <row r="74" spans="1:23" s="301" customFormat="1" ht="14.45" customHeight="1">
      <c r="A74" s="264" t="s">
        <v>334</v>
      </c>
      <c r="B74" s="22" t="str">
        <f>VLOOKUP(A74,[1]Sheet1!$A:$B,2,0)</f>
        <v>RCS DEVICE</v>
      </c>
      <c r="C74" s="282" t="s">
        <v>335</v>
      </c>
      <c r="D74" s="22" t="s">
        <v>75</v>
      </c>
      <c r="E74" s="22" t="s">
        <v>74</v>
      </c>
      <c r="F74" s="22">
        <v>2024</v>
      </c>
      <c r="G74" s="22">
        <v>1</v>
      </c>
      <c r="H74" s="22" t="s">
        <v>315</v>
      </c>
      <c r="I74" s="258">
        <v>45608</v>
      </c>
      <c r="J74" s="262">
        <v>2</v>
      </c>
      <c r="K74" s="259"/>
      <c r="L74" s="259">
        <f t="shared" si="3"/>
        <v>0</v>
      </c>
      <c r="M74" s="259">
        <v>50000</v>
      </c>
      <c r="N74" s="22" t="s">
        <v>297</v>
      </c>
      <c r="O74" s="263">
        <v>45320</v>
      </c>
      <c r="P74" s="273">
        <v>10619.469026548673</v>
      </c>
      <c r="Q74" s="307">
        <v>1</v>
      </c>
      <c r="R74" s="425">
        <f t="shared" si="2"/>
        <v>10619.469026548673</v>
      </c>
      <c r="S74" s="22" t="s">
        <v>316</v>
      </c>
      <c r="T74" s="22" t="s">
        <v>317</v>
      </c>
      <c r="U74" s="22" t="s">
        <v>318</v>
      </c>
      <c r="V74" s="22"/>
      <c r="W74" s="428"/>
    </row>
    <row r="75" spans="1:23" s="301" customFormat="1" ht="14.45" customHeight="1">
      <c r="A75" s="274" t="s">
        <v>331</v>
      </c>
      <c r="B75" s="22" t="str">
        <f>VLOOKUP(A75,[1]Sheet1!$A:$B,2,0)</f>
        <v>RCS POD</v>
      </c>
      <c r="C75" s="274" t="s">
        <v>105</v>
      </c>
      <c r="D75" s="44">
        <v>130010670062041</v>
      </c>
      <c r="E75" s="22" t="s">
        <v>74</v>
      </c>
      <c r="F75" s="22">
        <v>2024</v>
      </c>
      <c r="G75" s="22">
        <v>7</v>
      </c>
      <c r="H75" s="22" t="s">
        <v>315</v>
      </c>
      <c r="I75" s="258">
        <v>45608</v>
      </c>
      <c r="J75" s="262">
        <v>2</v>
      </c>
      <c r="K75" s="259"/>
      <c r="L75" s="259">
        <f t="shared" si="3"/>
        <v>0</v>
      </c>
      <c r="M75" s="259">
        <v>50000</v>
      </c>
      <c r="N75" s="22" t="s">
        <v>297</v>
      </c>
      <c r="O75" s="263">
        <v>45489</v>
      </c>
      <c r="P75" s="273">
        <v>30530.973451327438</v>
      </c>
      <c r="Q75" s="307">
        <v>1</v>
      </c>
      <c r="R75" s="425">
        <f t="shared" si="2"/>
        <v>30530.973451327438</v>
      </c>
      <c r="S75" s="22" t="s">
        <v>316</v>
      </c>
      <c r="T75" s="22" t="s">
        <v>317</v>
      </c>
      <c r="U75" s="22" t="s">
        <v>318</v>
      </c>
      <c r="V75" s="22"/>
      <c r="W75" s="428"/>
    </row>
    <row r="76" spans="1:23" s="301" customFormat="1" ht="14.45" customHeight="1">
      <c r="A76" s="274" t="s">
        <v>331</v>
      </c>
      <c r="B76" s="22" t="str">
        <f>VLOOKUP(A76,[1]Sheet1!$A:$B,2,0)</f>
        <v>RCS POD</v>
      </c>
      <c r="C76" s="274" t="s">
        <v>105</v>
      </c>
      <c r="D76" s="44">
        <v>130010670062041</v>
      </c>
      <c r="E76" s="22" t="s">
        <v>74</v>
      </c>
      <c r="F76" s="22">
        <v>2024</v>
      </c>
      <c r="G76" s="22">
        <v>7</v>
      </c>
      <c r="H76" s="22" t="s">
        <v>315</v>
      </c>
      <c r="I76" s="258">
        <v>45608</v>
      </c>
      <c r="J76" s="262">
        <v>2</v>
      </c>
      <c r="K76" s="259"/>
      <c r="L76" s="259">
        <f t="shared" si="3"/>
        <v>0</v>
      </c>
      <c r="M76" s="259">
        <v>50000</v>
      </c>
      <c r="N76" s="22" t="s">
        <v>297</v>
      </c>
      <c r="O76" s="263">
        <v>45489</v>
      </c>
      <c r="P76" s="273">
        <v>31929.203539823011</v>
      </c>
      <c r="Q76" s="307">
        <v>1</v>
      </c>
      <c r="R76" s="425">
        <f t="shared" si="2"/>
        <v>31929.203539823011</v>
      </c>
      <c r="S76" s="22" t="s">
        <v>316</v>
      </c>
      <c r="T76" s="22" t="s">
        <v>317</v>
      </c>
      <c r="U76" s="22" t="s">
        <v>318</v>
      </c>
      <c r="V76" s="22"/>
      <c r="W76" s="428"/>
    </row>
    <row r="77" spans="1:23" s="301" customFormat="1" ht="14.45" customHeight="1">
      <c r="A77" s="274" t="s">
        <v>331</v>
      </c>
      <c r="B77" s="22" t="str">
        <f>VLOOKUP(A77,[1]Sheet1!$A:$B,2,0)</f>
        <v>RCS POD</v>
      </c>
      <c r="C77" s="274" t="s">
        <v>332</v>
      </c>
      <c r="D77" s="44">
        <v>130010670061767</v>
      </c>
      <c r="E77" s="22" t="s">
        <v>74</v>
      </c>
      <c r="F77" s="22">
        <v>2024</v>
      </c>
      <c r="G77" s="22">
        <v>7</v>
      </c>
      <c r="H77" s="22" t="s">
        <v>315</v>
      </c>
      <c r="I77" s="258">
        <v>45608</v>
      </c>
      <c r="J77" s="262">
        <v>2</v>
      </c>
      <c r="K77" s="259"/>
      <c r="L77" s="259">
        <f t="shared" si="3"/>
        <v>0</v>
      </c>
      <c r="M77" s="259">
        <v>50000</v>
      </c>
      <c r="N77" s="22" t="s">
        <v>297</v>
      </c>
      <c r="O77" s="263">
        <v>45489</v>
      </c>
      <c r="P77" s="273">
        <v>17946.902654867259</v>
      </c>
      <c r="Q77" s="307">
        <v>1</v>
      </c>
      <c r="R77" s="425">
        <f t="shared" si="2"/>
        <v>17946.902654867259</v>
      </c>
      <c r="S77" s="22" t="s">
        <v>316</v>
      </c>
      <c r="T77" s="22" t="s">
        <v>317</v>
      </c>
      <c r="U77" s="22" t="s">
        <v>318</v>
      </c>
      <c r="V77" s="22"/>
      <c r="W77" s="428"/>
    </row>
    <row r="78" spans="1:23" s="301" customFormat="1" ht="14.45" customHeight="1">
      <c r="A78" s="274" t="s">
        <v>331</v>
      </c>
      <c r="B78" s="22" t="str">
        <f>VLOOKUP(A78,[1]Sheet1!$A:$B,2,0)</f>
        <v>RCS POD</v>
      </c>
      <c r="C78" s="274" t="s">
        <v>105</v>
      </c>
      <c r="D78" s="44">
        <v>130010670062041</v>
      </c>
      <c r="E78" s="22" t="s">
        <v>74</v>
      </c>
      <c r="F78" s="22">
        <v>2024</v>
      </c>
      <c r="G78" s="22">
        <v>7</v>
      </c>
      <c r="H78" s="22" t="s">
        <v>315</v>
      </c>
      <c r="I78" s="258">
        <v>45608</v>
      </c>
      <c r="J78" s="262">
        <v>2</v>
      </c>
      <c r="K78" s="259"/>
      <c r="L78" s="259">
        <f t="shared" si="3"/>
        <v>0</v>
      </c>
      <c r="M78" s="259">
        <v>50000</v>
      </c>
      <c r="N78" s="22" t="s">
        <v>297</v>
      </c>
      <c r="O78" s="263">
        <v>45489</v>
      </c>
      <c r="P78" s="273">
        <v>6150.4424778761068</v>
      </c>
      <c r="Q78" s="307">
        <v>1</v>
      </c>
      <c r="R78" s="425">
        <f t="shared" si="2"/>
        <v>6150.4424778761068</v>
      </c>
      <c r="S78" s="22" t="s">
        <v>316</v>
      </c>
      <c r="T78" s="22" t="s">
        <v>317</v>
      </c>
      <c r="U78" s="22" t="s">
        <v>318</v>
      </c>
      <c r="V78" s="22"/>
      <c r="W78" s="428"/>
    </row>
    <row r="79" spans="1:23" s="301" customFormat="1" ht="14.45" customHeight="1">
      <c r="A79" s="274" t="s">
        <v>331</v>
      </c>
      <c r="B79" s="22" t="str">
        <f>VLOOKUP(A79,[1]Sheet1!$A:$B,2,0)</f>
        <v>RCS POD</v>
      </c>
      <c r="C79" s="274" t="s">
        <v>105</v>
      </c>
      <c r="D79" s="44">
        <v>130010670062041</v>
      </c>
      <c r="E79" s="22" t="s">
        <v>74</v>
      </c>
      <c r="F79" s="22">
        <v>2024</v>
      </c>
      <c r="G79" s="22">
        <v>7</v>
      </c>
      <c r="H79" s="22" t="s">
        <v>315</v>
      </c>
      <c r="I79" s="258">
        <v>45608</v>
      </c>
      <c r="J79" s="262">
        <v>2</v>
      </c>
      <c r="K79" s="259"/>
      <c r="L79" s="259">
        <f t="shared" si="3"/>
        <v>0</v>
      </c>
      <c r="M79" s="259">
        <v>50000</v>
      </c>
      <c r="N79" s="22" t="s">
        <v>297</v>
      </c>
      <c r="O79" s="263">
        <v>45495</v>
      </c>
      <c r="P79" s="273">
        <v>2256.6371681415931</v>
      </c>
      <c r="Q79" s="307">
        <v>1</v>
      </c>
      <c r="R79" s="425">
        <f t="shared" si="2"/>
        <v>2256.6371681415931</v>
      </c>
      <c r="S79" s="22" t="s">
        <v>316</v>
      </c>
      <c r="T79" s="22" t="s">
        <v>317</v>
      </c>
      <c r="U79" s="22" t="s">
        <v>318</v>
      </c>
      <c r="V79" s="22"/>
      <c r="W79" s="428"/>
    </row>
    <row r="80" spans="1:23" s="301" customFormat="1" ht="14.45" customHeight="1">
      <c r="A80" s="274" t="s">
        <v>331</v>
      </c>
      <c r="B80" s="22" t="str">
        <f>VLOOKUP(A80,[1]Sheet1!$A:$B,2,0)</f>
        <v>RCS POD</v>
      </c>
      <c r="C80" s="274" t="s">
        <v>105</v>
      </c>
      <c r="D80" s="44">
        <v>130010670062041</v>
      </c>
      <c r="E80" s="22" t="s">
        <v>74</v>
      </c>
      <c r="F80" s="22">
        <v>2024</v>
      </c>
      <c r="G80" s="22">
        <v>7</v>
      </c>
      <c r="H80" s="22" t="s">
        <v>315</v>
      </c>
      <c r="I80" s="258">
        <v>45608</v>
      </c>
      <c r="J80" s="262">
        <v>2</v>
      </c>
      <c r="K80" s="259"/>
      <c r="L80" s="259">
        <f t="shared" si="3"/>
        <v>0</v>
      </c>
      <c r="M80" s="259">
        <v>50000</v>
      </c>
      <c r="N80" s="22" t="s">
        <v>297</v>
      </c>
      <c r="O80" s="263">
        <v>45497</v>
      </c>
      <c r="P80" s="273">
        <v>12389.380530973453</v>
      </c>
      <c r="Q80" s="307">
        <v>1</v>
      </c>
      <c r="R80" s="425">
        <f t="shared" si="2"/>
        <v>12389.380530973453</v>
      </c>
      <c r="S80" s="22" t="s">
        <v>316</v>
      </c>
      <c r="T80" s="22" t="s">
        <v>317</v>
      </c>
      <c r="U80" s="22" t="s">
        <v>318</v>
      </c>
      <c r="V80" s="22"/>
      <c r="W80" s="428"/>
    </row>
    <row r="81" spans="1:23" s="301" customFormat="1" ht="14.45" customHeight="1">
      <c r="A81" s="274" t="s">
        <v>331</v>
      </c>
      <c r="B81" s="22" t="str">
        <f>VLOOKUP(A81,[1]Sheet1!$A:$B,2,0)</f>
        <v>RCS POD</v>
      </c>
      <c r="C81" s="274" t="s">
        <v>105</v>
      </c>
      <c r="D81" s="44">
        <v>130010670062041</v>
      </c>
      <c r="E81" s="22" t="s">
        <v>74</v>
      </c>
      <c r="F81" s="22">
        <v>2024</v>
      </c>
      <c r="G81" s="22">
        <v>7</v>
      </c>
      <c r="H81" s="22" t="s">
        <v>315</v>
      </c>
      <c r="I81" s="258">
        <v>45608</v>
      </c>
      <c r="J81" s="262">
        <v>2</v>
      </c>
      <c r="K81" s="259"/>
      <c r="L81" s="259">
        <f t="shared" si="3"/>
        <v>0</v>
      </c>
      <c r="M81" s="259">
        <v>50000</v>
      </c>
      <c r="N81" s="22" t="s">
        <v>297</v>
      </c>
      <c r="O81" s="263">
        <v>45504</v>
      </c>
      <c r="P81" s="273">
        <v>3515.0442477876109</v>
      </c>
      <c r="Q81" s="307">
        <v>1</v>
      </c>
      <c r="R81" s="425">
        <f t="shared" si="2"/>
        <v>3515.0442477876109</v>
      </c>
      <c r="S81" s="22" t="s">
        <v>316</v>
      </c>
      <c r="T81" s="22" t="s">
        <v>317</v>
      </c>
      <c r="U81" s="22" t="s">
        <v>318</v>
      </c>
      <c r="V81" s="22"/>
      <c r="W81" s="428"/>
    </row>
    <row r="82" spans="1:23" s="301" customFormat="1" ht="14.45" customHeight="1">
      <c r="A82" s="264" t="s">
        <v>336</v>
      </c>
      <c r="B82" s="22" t="str">
        <f>VLOOKUP(A82,[1]Sheet1!$A:$B,2,0)</f>
        <v>RCS POD</v>
      </c>
      <c r="C82" s="274" t="s">
        <v>333</v>
      </c>
      <c r="D82" s="44">
        <v>130010670061770</v>
      </c>
      <c r="E82" s="22" t="s">
        <v>74</v>
      </c>
      <c r="F82" s="22">
        <v>2024</v>
      </c>
      <c r="G82" s="22">
        <v>8</v>
      </c>
      <c r="H82" s="22" t="s">
        <v>315</v>
      </c>
      <c r="I82" s="258">
        <v>45608</v>
      </c>
      <c r="J82" s="262">
        <v>2</v>
      </c>
      <c r="K82" s="259"/>
      <c r="L82" s="259">
        <f t="shared" si="3"/>
        <v>0</v>
      </c>
      <c r="M82" s="259">
        <v>50000</v>
      </c>
      <c r="N82" s="22" t="s">
        <v>296</v>
      </c>
      <c r="O82" s="263">
        <v>45509</v>
      </c>
      <c r="P82" s="273">
        <v>98500</v>
      </c>
      <c r="Q82" s="307">
        <v>1</v>
      </c>
      <c r="R82" s="425">
        <f t="shared" si="2"/>
        <v>98500</v>
      </c>
      <c r="S82" s="22" t="s">
        <v>316</v>
      </c>
      <c r="T82" s="22" t="s">
        <v>317</v>
      </c>
      <c r="U82" s="22" t="s">
        <v>318</v>
      </c>
      <c r="V82" s="22"/>
      <c r="W82" s="428"/>
    </row>
    <row r="83" spans="1:23" s="301" customFormat="1" ht="14.45" customHeight="1">
      <c r="A83" s="264" t="s">
        <v>336</v>
      </c>
      <c r="B83" s="22" t="str">
        <f>VLOOKUP(A83,[1]Sheet1!$A:$B,2,0)</f>
        <v>RCS POD</v>
      </c>
      <c r="C83" s="274" t="s">
        <v>332</v>
      </c>
      <c r="D83" s="44">
        <v>130010670061767</v>
      </c>
      <c r="E83" s="22" t="s">
        <v>74</v>
      </c>
      <c r="F83" s="22">
        <v>2024</v>
      </c>
      <c r="G83" s="22">
        <v>8</v>
      </c>
      <c r="H83" s="22" t="s">
        <v>315</v>
      </c>
      <c r="I83" s="258">
        <v>45608</v>
      </c>
      <c r="J83" s="262">
        <v>2</v>
      </c>
      <c r="K83" s="259"/>
      <c r="L83" s="259">
        <f t="shared" si="3"/>
        <v>0</v>
      </c>
      <c r="M83" s="259">
        <v>50000</v>
      </c>
      <c r="N83" s="22" t="s">
        <v>296</v>
      </c>
      <c r="O83" s="263">
        <v>45509</v>
      </c>
      <c r="P83" s="273">
        <v>155000</v>
      </c>
      <c r="Q83" s="307">
        <v>1</v>
      </c>
      <c r="R83" s="425">
        <f t="shared" si="2"/>
        <v>155000</v>
      </c>
      <c r="S83" s="22" t="s">
        <v>316</v>
      </c>
      <c r="T83" s="22" t="s">
        <v>317</v>
      </c>
      <c r="U83" s="22" t="s">
        <v>318</v>
      </c>
      <c r="V83" s="22"/>
      <c r="W83" s="428"/>
    </row>
    <row r="84" spans="1:23" s="301" customFormat="1" ht="14.45" customHeight="1">
      <c r="A84" s="264" t="s">
        <v>336</v>
      </c>
      <c r="B84" s="22" t="str">
        <f>VLOOKUP(A84,[1]Sheet1!$A:$B,2,0)</f>
        <v>RCS POD</v>
      </c>
      <c r="C84" s="274" t="s">
        <v>105</v>
      </c>
      <c r="D84" s="44">
        <v>130010670061769</v>
      </c>
      <c r="E84" s="22" t="s">
        <v>74</v>
      </c>
      <c r="F84" s="22">
        <v>2024</v>
      </c>
      <c r="G84" s="22">
        <v>8</v>
      </c>
      <c r="H84" s="22" t="s">
        <v>315</v>
      </c>
      <c r="I84" s="258">
        <v>45608</v>
      </c>
      <c r="J84" s="262">
        <v>2</v>
      </c>
      <c r="K84" s="259"/>
      <c r="L84" s="259">
        <f t="shared" si="3"/>
        <v>0</v>
      </c>
      <c r="M84" s="259">
        <v>50000</v>
      </c>
      <c r="N84" s="22" t="s">
        <v>296</v>
      </c>
      <c r="O84" s="263">
        <v>45509</v>
      </c>
      <c r="P84" s="273">
        <v>155000</v>
      </c>
      <c r="Q84" s="307">
        <v>1</v>
      </c>
      <c r="R84" s="425">
        <f t="shared" si="2"/>
        <v>155000</v>
      </c>
      <c r="S84" s="22" t="s">
        <v>316</v>
      </c>
      <c r="T84" s="22" t="s">
        <v>317</v>
      </c>
      <c r="U84" s="22" t="s">
        <v>318</v>
      </c>
      <c r="V84" s="22"/>
      <c r="W84" s="428"/>
    </row>
    <row r="85" spans="1:23" s="301" customFormat="1" ht="14.45" customHeight="1">
      <c r="A85" s="264" t="s">
        <v>336</v>
      </c>
      <c r="B85" s="22" t="str">
        <f>VLOOKUP(A85,[1]Sheet1!$A:$B,2,0)</f>
        <v>RCS POD</v>
      </c>
      <c r="C85" s="274" t="s">
        <v>337</v>
      </c>
      <c r="D85" s="44">
        <v>130010670075240</v>
      </c>
      <c r="E85" s="22" t="s">
        <v>74</v>
      </c>
      <c r="F85" s="22">
        <v>2024</v>
      </c>
      <c r="G85" s="22">
        <v>8</v>
      </c>
      <c r="H85" s="22" t="s">
        <v>315</v>
      </c>
      <c r="I85" s="258">
        <v>45608</v>
      </c>
      <c r="J85" s="262">
        <v>2</v>
      </c>
      <c r="K85" s="259"/>
      <c r="L85" s="259">
        <f t="shared" si="3"/>
        <v>0</v>
      </c>
      <c r="M85" s="259">
        <v>50000</v>
      </c>
      <c r="N85" s="22" t="s">
        <v>296</v>
      </c>
      <c r="O85" s="263">
        <v>45509</v>
      </c>
      <c r="P85" s="273">
        <v>215000</v>
      </c>
      <c r="Q85" s="307">
        <v>1</v>
      </c>
      <c r="R85" s="425">
        <f t="shared" si="2"/>
        <v>215000</v>
      </c>
      <c r="S85" s="22" t="s">
        <v>316</v>
      </c>
      <c r="T85" s="22" t="s">
        <v>317</v>
      </c>
      <c r="U85" s="22" t="s">
        <v>318</v>
      </c>
      <c r="V85" s="22"/>
      <c r="W85" s="428"/>
    </row>
    <row r="86" spans="1:23" s="301" customFormat="1" ht="14.45" customHeight="1">
      <c r="A86" s="264" t="s">
        <v>336</v>
      </c>
      <c r="B86" s="22" t="str">
        <f>VLOOKUP(A86,[1]Sheet1!$A:$B,2,0)</f>
        <v>RCS POD</v>
      </c>
      <c r="C86" s="274" t="s">
        <v>338</v>
      </c>
      <c r="D86" s="44">
        <v>130010670082235</v>
      </c>
      <c r="E86" s="22" t="s">
        <v>74</v>
      </c>
      <c r="F86" s="22">
        <v>2024</v>
      </c>
      <c r="G86" s="22">
        <v>8</v>
      </c>
      <c r="H86" s="22" t="s">
        <v>315</v>
      </c>
      <c r="I86" s="258">
        <v>45608</v>
      </c>
      <c r="J86" s="262">
        <v>2</v>
      </c>
      <c r="K86" s="259"/>
      <c r="L86" s="259">
        <f t="shared" si="3"/>
        <v>0</v>
      </c>
      <c r="M86" s="259">
        <v>50000</v>
      </c>
      <c r="N86" s="22" t="s">
        <v>296</v>
      </c>
      <c r="O86" s="263">
        <v>45509</v>
      </c>
      <c r="P86" s="273">
        <v>215000</v>
      </c>
      <c r="Q86" s="307">
        <v>1</v>
      </c>
      <c r="R86" s="425">
        <f t="shared" si="2"/>
        <v>215000</v>
      </c>
      <c r="S86" s="22" t="s">
        <v>316</v>
      </c>
      <c r="T86" s="22" t="s">
        <v>317</v>
      </c>
      <c r="U86" s="22" t="s">
        <v>318</v>
      </c>
      <c r="V86" s="22"/>
      <c r="W86" s="428"/>
    </row>
    <row r="87" spans="1:23" s="301" customFormat="1" ht="14.45" customHeight="1">
      <c r="A87" s="264" t="s">
        <v>336</v>
      </c>
      <c r="B87" s="22" t="str">
        <f>VLOOKUP(A87,[1]Sheet1!$A:$B,2,0)</f>
        <v>RCS POD</v>
      </c>
      <c r="C87" s="274" t="s">
        <v>338</v>
      </c>
      <c r="D87" s="44">
        <v>130010670082235</v>
      </c>
      <c r="E87" s="22" t="s">
        <v>74</v>
      </c>
      <c r="F87" s="22">
        <v>2024</v>
      </c>
      <c r="G87" s="22">
        <v>8</v>
      </c>
      <c r="H87" s="22" t="s">
        <v>315</v>
      </c>
      <c r="I87" s="258">
        <v>45608</v>
      </c>
      <c r="J87" s="262">
        <v>2</v>
      </c>
      <c r="K87" s="259"/>
      <c r="L87" s="259">
        <f t="shared" si="3"/>
        <v>0</v>
      </c>
      <c r="M87" s="259">
        <v>50000</v>
      </c>
      <c r="N87" s="22" t="s">
        <v>296</v>
      </c>
      <c r="O87" s="263">
        <v>45509</v>
      </c>
      <c r="P87" s="273">
        <v>215000</v>
      </c>
      <c r="Q87" s="307">
        <v>1</v>
      </c>
      <c r="R87" s="425">
        <f t="shared" si="2"/>
        <v>215000</v>
      </c>
      <c r="S87" s="22" t="s">
        <v>316</v>
      </c>
      <c r="T87" s="22" t="s">
        <v>317</v>
      </c>
      <c r="U87" s="22" t="s">
        <v>318</v>
      </c>
      <c r="V87" s="22"/>
      <c r="W87" s="428"/>
    </row>
    <row r="88" spans="1:23" s="301" customFormat="1" ht="14.45" customHeight="1">
      <c r="A88" s="274" t="s">
        <v>331</v>
      </c>
      <c r="B88" s="22" t="str">
        <f>VLOOKUP(A88,[1]Sheet1!$A:$B,2,0)</f>
        <v>RCS POD</v>
      </c>
      <c r="C88" s="274" t="s">
        <v>105</v>
      </c>
      <c r="D88" s="44">
        <v>130010670062041</v>
      </c>
      <c r="E88" s="22" t="s">
        <v>74</v>
      </c>
      <c r="F88" s="22">
        <v>2024</v>
      </c>
      <c r="G88" s="22">
        <v>8</v>
      </c>
      <c r="H88" s="22" t="s">
        <v>315</v>
      </c>
      <c r="I88" s="258">
        <v>45608</v>
      </c>
      <c r="J88" s="262">
        <v>2</v>
      </c>
      <c r="K88" s="259"/>
      <c r="L88" s="259">
        <f t="shared" si="3"/>
        <v>0</v>
      </c>
      <c r="M88" s="259">
        <v>50000</v>
      </c>
      <c r="N88" s="22" t="s">
        <v>297</v>
      </c>
      <c r="O88" s="263">
        <v>45527</v>
      </c>
      <c r="P88" s="273">
        <v>23929</v>
      </c>
      <c r="Q88" s="307">
        <v>1</v>
      </c>
      <c r="R88" s="425">
        <f t="shared" si="2"/>
        <v>23929</v>
      </c>
      <c r="S88" s="22" t="s">
        <v>316</v>
      </c>
      <c r="T88" s="22" t="s">
        <v>317</v>
      </c>
      <c r="U88" s="22" t="s">
        <v>318</v>
      </c>
      <c r="V88" s="22"/>
      <c r="W88" s="428"/>
    </row>
    <row r="89" spans="1:23" s="301" customFormat="1" ht="14.45" customHeight="1">
      <c r="A89" s="274" t="s">
        <v>331</v>
      </c>
      <c r="B89" s="22" t="str">
        <f>VLOOKUP(A89,[1]Sheet1!$A:$B,2,0)</f>
        <v>RCS POD</v>
      </c>
      <c r="C89" s="274" t="s">
        <v>332</v>
      </c>
      <c r="D89" s="44">
        <v>130010670061767</v>
      </c>
      <c r="E89" s="22" t="s">
        <v>74</v>
      </c>
      <c r="F89" s="22">
        <v>2024</v>
      </c>
      <c r="G89" s="22">
        <v>8</v>
      </c>
      <c r="H89" s="22" t="s">
        <v>315</v>
      </c>
      <c r="I89" s="258">
        <v>45608</v>
      </c>
      <c r="J89" s="262">
        <v>2</v>
      </c>
      <c r="K89" s="259"/>
      <c r="L89" s="259">
        <f t="shared" si="3"/>
        <v>0</v>
      </c>
      <c r="M89" s="259">
        <v>50000</v>
      </c>
      <c r="N89" s="22" t="s">
        <v>297</v>
      </c>
      <c r="O89" s="263">
        <v>45527</v>
      </c>
      <c r="P89" s="273">
        <v>7080</v>
      </c>
      <c r="Q89" s="307">
        <v>1</v>
      </c>
      <c r="R89" s="425">
        <f t="shared" si="2"/>
        <v>7080</v>
      </c>
      <c r="S89" s="22" t="s">
        <v>316</v>
      </c>
      <c r="T89" s="22" t="s">
        <v>317</v>
      </c>
      <c r="U89" s="22" t="s">
        <v>318</v>
      </c>
      <c r="V89" s="22"/>
      <c r="W89" s="428"/>
    </row>
    <row r="90" spans="1:23" s="301" customFormat="1" ht="14.45" customHeight="1">
      <c r="A90" s="264" t="s">
        <v>339</v>
      </c>
      <c r="B90" s="22" t="str">
        <f>VLOOKUP(A90,[1]Sheet1!$A:$B,2,0)</f>
        <v>RCS POD</v>
      </c>
      <c r="C90" s="274" t="s">
        <v>333</v>
      </c>
      <c r="D90" s="44">
        <v>130010670061770</v>
      </c>
      <c r="E90" s="22" t="s">
        <v>74</v>
      </c>
      <c r="F90" s="22">
        <v>2024</v>
      </c>
      <c r="G90" s="22">
        <v>8</v>
      </c>
      <c r="H90" s="22" t="s">
        <v>325</v>
      </c>
      <c r="I90" s="258">
        <v>45608</v>
      </c>
      <c r="J90" s="262">
        <v>2</v>
      </c>
      <c r="K90" s="259"/>
      <c r="L90" s="259">
        <f t="shared" si="3"/>
        <v>0</v>
      </c>
      <c r="M90" s="259">
        <v>50000</v>
      </c>
      <c r="N90" s="22" t="s">
        <v>297</v>
      </c>
      <c r="O90" s="263">
        <v>45527</v>
      </c>
      <c r="P90" s="273">
        <v>3363</v>
      </c>
      <c r="Q90" s="307">
        <v>1</v>
      </c>
      <c r="R90" s="425">
        <f t="shared" si="2"/>
        <v>3363</v>
      </c>
      <c r="S90" s="22" t="s">
        <v>316</v>
      </c>
      <c r="T90" s="22" t="s">
        <v>317</v>
      </c>
      <c r="U90" s="22" t="s">
        <v>318</v>
      </c>
      <c r="V90" s="22"/>
      <c r="W90" s="428"/>
    </row>
    <row r="91" spans="1:23" s="301" customFormat="1" ht="14.45" customHeight="1">
      <c r="A91" s="276" t="s">
        <v>130</v>
      </c>
      <c r="B91" s="22" t="str">
        <f>VLOOKUP(A91,[1]Sheet1!$A:$B,2,0)</f>
        <v>MODI</v>
      </c>
      <c r="C91" s="32" t="s">
        <v>114</v>
      </c>
      <c r="D91" s="44">
        <v>130040670023440</v>
      </c>
      <c r="E91" s="277" t="s">
        <v>74</v>
      </c>
      <c r="F91" s="277">
        <v>2024</v>
      </c>
      <c r="G91" s="277">
        <v>9</v>
      </c>
      <c r="H91" s="22" t="s">
        <v>325</v>
      </c>
      <c r="I91" s="258">
        <v>45608</v>
      </c>
      <c r="J91" s="262">
        <v>2</v>
      </c>
      <c r="K91" s="275"/>
      <c r="L91" s="259">
        <f t="shared" si="3"/>
        <v>0</v>
      </c>
      <c r="M91" s="259">
        <v>50000</v>
      </c>
      <c r="N91" s="22" t="s">
        <v>297</v>
      </c>
      <c r="O91" s="265">
        <v>45561</v>
      </c>
      <c r="P91" s="278">
        <v>6866.3716814159297</v>
      </c>
      <c r="Q91" s="279">
        <v>1</v>
      </c>
      <c r="R91" s="426">
        <f t="shared" si="2"/>
        <v>6866.3716814159297</v>
      </c>
      <c r="S91" s="22" t="s">
        <v>316</v>
      </c>
      <c r="T91" s="22" t="s">
        <v>317</v>
      </c>
      <c r="U91" s="22" t="s">
        <v>318</v>
      </c>
      <c r="V91" s="22"/>
      <c r="W91" s="428"/>
    </row>
    <row r="92" spans="1:23" s="301" customFormat="1" ht="14.45" customHeight="1">
      <c r="A92" s="266" t="s">
        <v>340</v>
      </c>
      <c r="B92" s="22" t="str">
        <f>VLOOKUP(A92,[1]Sheet1!$A:$B,2,0)</f>
        <v>HP</v>
      </c>
      <c r="C92" s="266" t="s">
        <v>341</v>
      </c>
      <c r="D92" s="44">
        <v>230000460202005</v>
      </c>
      <c r="E92" s="22" t="s">
        <v>74</v>
      </c>
      <c r="F92" s="22">
        <v>2024</v>
      </c>
      <c r="G92" s="22">
        <v>1</v>
      </c>
      <c r="H92" s="22" t="s">
        <v>315</v>
      </c>
      <c r="I92" s="258">
        <v>45608</v>
      </c>
      <c r="J92" s="299">
        <v>2</v>
      </c>
      <c r="K92" s="275"/>
      <c r="L92" s="259">
        <f t="shared" si="3"/>
        <v>0</v>
      </c>
      <c r="M92" s="259">
        <v>50000</v>
      </c>
      <c r="N92" s="22" t="s">
        <v>296</v>
      </c>
      <c r="O92" s="265">
        <v>45322</v>
      </c>
      <c r="P92" s="300">
        <v>122500</v>
      </c>
      <c r="Q92" s="22">
        <v>1</v>
      </c>
      <c r="R92" s="425">
        <f t="shared" si="2"/>
        <v>122500</v>
      </c>
      <c r="S92" s="22" t="s">
        <v>316</v>
      </c>
      <c r="T92" s="22" t="s">
        <v>317</v>
      </c>
      <c r="U92" s="22" t="s">
        <v>318</v>
      </c>
      <c r="V92" s="22"/>
      <c r="W92" s="428"/>
    </row>
    <row r="93" spans="1:23" s="301" customFormat="1" ht="14.45" customHeight="1">
      <c r="A93" s="266" t="s">
        <v>340</v>
      </c>
      <c r="B93" s="22" t="str">
        <f>VLOOKUP(A93,[1]Sheet1!$A:$B,2,0)</f>
        <v>HP</v>
      </c>
      <c r="C93" s="302" t="s">
        <v>342</v>
      </c>
      <c r="D93" s="22" t="s">
        <v>75</v>
      </c>
      <c r="E93" s="22" t="s">
        <v>74</v>
      </c>
      <c r="F93" s="22">
        <v>2024</v>
      </c>
      <c r="G93" s="22">
        <v>1</v>
      </c>
      <c r="H93" s="22" t="s">
        <v>315</v>
      </c>
      <c r="I93" s="258">
        <v>45608</v>
      </c>
      <c r="J93" s="299">
        <v>2</v>
      </c>
      <c r="K93" s="275"/>
      <c r="L93" s="259">
        <f t="shared" si="3"/>
        <v>0</v>
      </c>
      <c r="M93" s="259">
        <v>50000</v>
      </c>
      <c r="N93" s="22" t="s">
        <v>296</v>
      </c>
      <c r="O93" s="265">
        <v>45322</v>
      </c>
      <c r="P93" s="300">
        <v>100500</v>
      </c>
      <c r="Q93" s="22">
        <v>1</v>
      </c>
      <c r="R93" s="425">
        <f t="shared" si="2"/>
        <v>100500</v>
      </c>
      <c r="S93" s="22" t="s">
        <v>316</v>
      </c>
      <c r="T93" s="22" t="s">
        <v>317</v>
      </c>
      <c r="U93" s="22" t="s">
        <v>318</v>
      </c>
      <c r="V93" s="22"/>
      <c r="W93" s="428"/>
    </row>
    <row r="94" spans="1:23" s="301" customFormat="1" ht="14.45" customHeight="1">
      <c r="A94" s="266" t="s">
        <v>340</v>
      </c>
      <c r="B94" s="22" t="str">
        <f>VLOOKUP(A94,[1]Sheet1!$A:$B,2,0)</f>
        <v>HP</v>
      </c>
      <c r="C94" s="266" t="s">
        <v>343</v>
      </c>
      <c r="D94" s="22" t="s">
        <v>344</v>
      </c>
      <c r="E94" s="22" t="s">
        <v>74</v>
      </c>
      <c r="F94" s="22">
        <v>2024</v>
      </c>
      <c r="G94" s="22">
        <v>1</v>
      </c>
      <c r="H94" s="22" t="s">
        <v>315</v>
      </c>
      <c r="I94" s="258">
        <v>45608</v>
      </c>
      <c r="J94" s="299">
        <v>2</v>
      </c>
      <c r="K94" s="275"/>
      <c r="L94" s="259">
        <f t="shared" si="3"/>
        <v>0</v>
      </c>
      <c r="M94" s="259">
        <v>50000</v>
      </c>
      <c r="N94" s="22" t="s">
        <v>296</v>
      </c>
      <c r="O94" s="265">
        <v>45322</v>
      </c>
      <c r="P94" s="300">
        <v>123500</v>
      </c>
      <c r="Q94" s="22">
        <v>1</v>
      </c>
      <c r="R94" s="425">
        <f t="shared" si="2"/>
        <v>123500</v>
      </c>
      <c r="S94" s="22" t="s">
        <v>316</v>
      </c>
      <c r="T94" s="22" t="s">
        <v>317</v>
      </c>
      <c r="U94" s="22" t="s">
        <v>318</v>
      </c>
      <c r="V94" s="22"/>
      <c r="W94" s="428"/>
    </row>
    <row r="95" spans="1:23" s="301" customFormat="1" ht="14.45" customHeight="1">
      <c r="A95" s="266" t="s">
        <v>340</v>
      </c>
      <c r="B95" s="22" t="str">
        <f>VLOOKUP(A95,[1]Sheet1!$A:$B,2,0)</f>
        <v>HP</v>
      </c>
      <c r="C95" s="266" t="s">
        <v>341</v>
      </c>
      <c r="D95" s="44">
        <v>230000460202005</v>
      </c>
      <c r="E95" s="22" t="s">
        <v>74</v>
      </c>
      <c r="F95" s="22">
        <v>2024</v>
      </c>
      <c r="G95" s="22">
        <v>1</v>
      </c>
      <c r="H95" s="22" t="s">
        <v>315</v>
      </c>
      <c r="I95" s="258">
        <v>45608</v>
      </c>
      <c r="J95" s="299">
        <v>2</v>
      </c>
      <c r="K95" s="275"/>
      <c r="L95" s="259">
        <f t="shared" si="3"/>
        <v>0</v>
      </c>
      <c r="M95" s="259">
        <v>50000</v>
      </c>
      <c r="N95" s="22" t="s">
        <v>296</v>
      </c>
      <c r="O95" s="265">
        <v>45322</v>
      </c>
      <c r="P95" s="300">
        <v>124100</v>
      </c>
      <c r="Q95" s="22">
        <v>1</v>
      </c>
      <c r="R95" s="425">
        <f t="shared" si="2"/>
        <v>124100</v>
      </c>
      <c r="S95" s="22" t="s">
        <v>316</v>
      </c>
      <c r="T95" s="22" t="s">
        <v>317</v>
      </c>
      <c r="U95" s="22" t="s">
        <v>318</v>
      </c>
      <c r="V95" s="22"/>
      <c r="W95" s="428"/>
    </row>
    <row r="96" spans="1:23" s="301" customFormat="1" ht="14.45" customHeight="1">
      <c r="A96" s="266" t="s">
        <v>340</v>
      </c>
      <c r="B96" s="22" t="str">
        <f>VLOOKUP(A96,[1]Sheet1!$A:$B,2,0)</f>
        <v>HP</v>
      </c>
      <c r="C96" s="302" t="s">
        <v>342</v>
      </c>
      <c r="D96" s="22" t="s">
        <v>75</v>
      </c>
      <c r="E96" s="22" t="s">
        <v>74</v>
      </c>
      <c r="F96" s="22">
        <v>2024</v>
      </c>
      <c r="G96" s="22">
        <v>1</v>
      </c>
      <c r="H96" s="22" t="s">
        <v>315</v>
      </c>
      <c r="I96" s="258">
        <v>45608</v>
      </c>
      <c r="J96" s="299">
        <v>2</v>
      </c>
      <c r="K96" s="275"/>
      <c r="L96" s="259">
        <f t="shared" si="3"/>
        <v>0</v>
      </c>
      <c r="M96" s="259">
        <v>50000</v>
      </c>
      <c r="N96" s="22" t="s">
        <v>296</v>
      </c>
      <c r="O96" s="265">
        <v>45322</v>
      </c>
      <c r="P96" s="300">
        <v>90000</v>
      </c>
      <c r="Q96" s="22">
        <v>1</v>
      </c>
      <c r="R96" s="425">
        <f t="shared" si="2"/>
        <v>90000</v>
      </c>
      <c r="S96" s="22" t="s">
        <v>316</v>
      </c>
      <c r="T96" s="22" t="s">
        <v>317</v>
      </c>
      <c r="U96" s="22" t="s">
        <v>318</v>
      </c>
      <c r="V96" s="22"/>
      <c r="W96" s="428"/>
    </row>
    <row r="97" spans="1:23" s="301" customFormat="1" ht="14.45" customHeight="1">
      <c r="A97" s="266" t="s">
        <v>340</v>
      </c>
      <c r="B97" s="22" t="str">
        <f>VLOOKUP(A97,[1]Sheet1!$A:$B,2,0)</f>
        <v>HP</v>
      </c>
      <c r="C97" s="266" t="s">
        <v>122</v>
      </c>
      <c r="D97" s="44">
        <v>230000960202007</v>
      </c>
      <c r="E97" s="22" t="s">
        <v>74</v>
      </c>
      <c r="F97" s="22">
        <v>2024</v>
      </c>
      <c r="G97" s="22">
        <v>1</v>
      </c>
      <c r="H97" s="22" t="s">
        <v>315</v>
      </c>
      <c r="I97" s="258">
        <v>45608</v>
      </c>
      <c r="J97" s="299">
        <v>2</v>
      </c>
      <c r="K97" s="275"/>
      <c r="L97" s="259">
        <f t="shared" si="3"/>
        <v>0</v>
      </c>
      <c r="M97" s="259">
        <v>50000</v>
      </c>
      <c r="N97" s="22" t="s">
        <v>296</v>
      </c>
      <c r="O97" s="265">
        <v>45322</v>
      </c>
      <c r="P97" s="300">
        <v>92200</v>
      </c>
      <c r="Q97" s="22">
        <v>1</v>
      </c>
      <c r="R97" s="425">
        <f t="shared" si="2"/>
        <v>92200</v>
      </c>
      <c r="S97" s="22" t="s">
        <v>316</v>
      </c>
      <c r="T97" s="22" t="s">
        <v>317</v>
      </c>
      <c r="U97" s="22" t="s">
        <v>318</v>
      </c>
      <c r="V97" s="22"/>
      <c r="W97" s="428"/>
    </row>
    <row r="98" spans="1:23" s="301" customFormat="1" ht="14.45" customHeight="1">
      <c r="A98" s="266" t="s">
        <v>340</v>
      </c>
      <c r="B98" s="22" t="str">
        <f>VLOOKUP(A98,[1]Sheet1!$A:$B,2,0)</f>
        <v>HP</v>
      </c>
      <c r="C98" s="266" t="s">
        <v>345</v>
      </c>
      <c r="D98" s="44">
        <v>230000960202006</v>
      </c>
      <c r="E98" s="22" t="s">
        <v>74</v>
      </c>
      <c r="F98" s="22">
        <v>2024</v>
      </c>
      <c r="G98" s="22">
        <v>1</v>
      </c>
      <c r="H98" s="22" t="s">
        <v>315</v>
      </c>
      <c r="I98" s="258">
        <v>45608</v>
      </c>
      <c r="J98" s="299">
        <v>2</v>
      </c>
      <c r="K98" s="275"/>
      <c r="L98" s="259">
        <f t="shared" si="3"/>
        <v>0</v>
      </c>
      <c r="M98" s="259">
        <v>50000</v>
      </c>
      <c r="N98" s="22" t="s">
        <v>296</v>
      </c>
      <c r="O98" s="265">
        <v>45322</v>
      </c>
      <c r="P98" s="300">
        <v>116600</v>
      </c>
      <c r="Q98" s="22">
        <v>1</v>
      </c>
      <c r="R98" s="425">
        <f t="shared" si="2"/>
        <v>116600</v>
      </c>
      <c r="S98" s="22" t="s">
        <v>316</v>
      </c>
      <c r="T98" s="22" t="s">
        <v>317</v>
      </c>
      <c r="U98" s="22" t="s">
        <v>318</v>
      </c>
      <c r="V98" s="22"/>
      <c r="W98" s="428"/>
    </row>
    <row r="99" spans="1:23" s="301" customFormat="1" ht="14.45" customHeight="1">
      <c r="A99" s="266" t="s">
        <v>340</v>
      </c>
      <c r="B99" s="22" t="str">
        <f>VLOOKUP(A99,[1]Sheet1!$A:$B,2,0)</f>
        <v>HP</v>
      </c>
      <c r="C99" s="266" t="s">
        <v>345</v>
      </c>
      <c r="D99" s="44">
        <v>230000960202006</v>
      </c>
      <c r="E99" s="22" t="s">
        <v>74</v>
      </c>
      <c r="F99" s="22">
        <v>2024</v>
      </c>
      <c r="G99" s="22">
        <v>1</v>
      </c>
      <c r="H99" s="22" t="s">
        <v>315</v>
      </c>
      <c r="I99" s="258">
        <v>45608</v>
      </c>
      <c r="J99" s="299">
        <v>2</v>
      </c>
      <c r="K99" s="275"/>
      <c r="L99" s="259">
        <f t="shared" si="3"/>
        <v>0</v>
      </c>
      <c r="M99" s="259">
        <v>50000</v>
      </c>
      <c r="N99" s="22" t="s">
        <v>296</v>
      </c>
      <c r="O99" s="265">
        <v>45322</v>
      </c>
      <c r="P99" s="300">
        <v>82000</v>
      </c>
      <c r="Q99" s="22">
        <v>1</v>
      </c>
      <c r="R99" s="425">
        <f t="shared" si="2"/>
        <v>82000</v>
      </c>
      <c r="S99" s="22" t="s">
        <v>316</v>
      </c>
      <c r="T99" s="22" t="s">
        <v>317</v>
      </c>
      <c r="U99" s="22" t="s">
        <v>318</v>
      </c>
      <c r="V99" s="22"/>
      <c r="W99" s="428"/>
    </row>
    <row r="100" spans="1:23" s="301" customFormat="1" ht="14.45" customHeight="1">
      <c r="A100" s="266" t="s">
        <v>340</v>
      </c>
      <c r="B100" s="22" t="str">
        <f>VLOOKUP(A100,[1]Sheet1!$A:$B,2,0)</f>
        <v>HP</v>
      </c>
      <c r="C100" s="266" t="s">
        <v>341</v>
      </c>
      <c r="D100" s="44">
        <v>230000460202005</v>
      </c>
      <c r="E100" s="22" t="s">
        <v>74</v>
      </c>
      <c r="F100" s="22">
        <v>2024</v>
      </c>
      <c r="G100" s="22">
        <v>5</v>
      </c>
      <c r="H100" s="22" t="s">
        <v>315</v>
      </c>
      <c r="I100" s="258">
        <v>45608</v>
      </c>
      <c r="J100" s="262">
        <v>2</v>
      </c>
      <c r="K100" s="275"/>
      <c r="L100" s="259">
        <f t="shared" si="3"/>
        <v>0</v>
      </c>
      <c r="M100" s="259">
        <v>50000</v>
      </c>
      <c r="N100" s="22" t="s">
        <v>297</v>
      </c>
      <c r="O100" s="267">
        <v>45429</v>
      </c>
      <c r="P100" s="300">
        <v>4450.7079646017701</v>
      </c>
      <c r="Q100" s="22">
        <v>1</v>
      </c>
      <c r="R100" s="425">
        <f t="shared" si="2"/>
        <v>4450.7079646017701</v>
      </c>
      <c r="S100" s="22" t="s">
        <v>316</v>
      </c>
      <c r="T100" s="22" t="s">
        <v>317</v>
      </c>
      <c r="U100" s="22" t="s">
        <v>318</v>
      </c>
      <c r="V100" s="22"/>
      <c r="W100" s="428"/>
    </row>
    <row r="101" spans="1:23" s="301" customFormat="1" ht="14.45" customHeight="1">
      <c r="A101" s="266" t="s">
        <v>340</v>
      </c>
      <c r="B101" s="22" t="str">
        <f>VLOOKUP(A101,[1]Sheet1!$A:$B,2,0)</f>
        <v>HP</v>
      </c>
      <c r="C101" s="266" t="s">
        <v>341</v>
      </c>
      <c r="D101" s="44">
        <v>230000460202005</v>
      </c>
      <c r="E101" s="22" t="s">
        <v>74</v>
      </c>
      <c r="F101" s="22">
        <v>2024</v>
      </c>
      <c r="G101" s="22">
        <v>5</v>
      </c>
      <c r="H101" s="22" t="s">
        <v>315</v>
      </c>
      <c r="I101" s="258">
        <v>45608</v>
      </c>
      <c r="J101" s="262">
        <v>2</v>
      </c>
      <c r="K101" s="275"/>
      <c r="L101" s="259">
        <f t="shared" si="3"/>
        <v>0</v>
      </c>
      <c r="M101" s="259">
        <v>50000</v>
      </c>
      <c r="N101" s="22" t="s">
        <v>297</v>
      </c>
      <c r="O101" s="267">
        <v>45429</v>
      </c>
      <c r="P101" s="300">
        <v>3215.9292035398234</v>
      </c>
      <c r="Q101" s="22">
        <v>1</v>
      </c>
      <c r="R101" s="425">
        <f t="shared" si="2"/>
        <v>3215.9292035398234</v>
      </c>
      <c r="S101" s="22" t="s">
        <v>316</v>
      </c>
      <c r="T101" s="22" t="s">
        <v>317</v>
      </c>
      <c r="U101" s="22" t="s">
        <v>318</v>
      </c>
      <c r="V101" s="22"/>
      <c r="W101" s="428"/>
    </row>
    <row r="102" spans="1:23" s="301" customFormat="1" ht="14.45" customHeight="1">
      <c r="A102" s="266" t="s">
        <v>340</v>
      </c>
      <c r="B102" s="22" t="str">
        <f>VLOOKUP(A102,[1]Sheet1!$A:$B,2,0)</f>
        <v>HP</v>
      </c>
      <c r="C102" s="302" t="s">
        <v>342</v>
      </c>
      <c r="D102" s="22" t="s">
        <v>75</v>
      </c>
      <c r="E102" s="22" t="s">
        <v>74</v>
      </c>
      <c r="F102" s="22">
        <v>2024</v>
      </c>
      <c r="G102" s="22">
        <v>5</v>
      </c>
      <c r="H102" s="22" t="s">
        <v>315</v>
      </c>
      <c r="I102" s="258">
        <v>45608</v>
      </c>
      <c r="J102" s="262">
        <v>2</v>
      </c>
      <c r="K102" s="275"/>
      <c r="L102" s="259">
        <f t="shared" si="3"/>
        <v>0</v>
      </c>
      <c r="M102" s="259">
        <v>50000</v>
      </c>
      <c r="N102" s="22" t="s">
        <v>297</v>
      </c>
      <c r="O102" s="267">
        <v>45429</v>
      </c>
      <c r="P102" s="300">
        <v>3215.7079646017701</v>
      </c>
      <c r="Q102" s="22">
        <v>1</v>
      </c>
      <c r="R102" s="425">
        <f t="shared" si="2"/>
        <v>3215.7079646017701</v>
      </c>
      <c r="S102" s="22" t="s">
        <v>316</v>
      </c>
      <c r="T102" s="22" t="s">
        <v>317</v>
      </c>
      <c r="U102" s="22" t="s">
        <v>318</v>
      </c>
      <c r="V102" s="22"/>
      <c r="W102" s="428"/>
    </row>
    <row r="103" spans="1:23" s="301" customFormat="1" ht="14.45" customHeight="1">
      <c r="A103" s="266" t="s">
        <v>340</v>
      </c>
      <c r="B103" s="22" t="str">
        <f>VLOOKUP(A103,[1]Sheet1!$A:$B,2,0)</f>
        <v>HP</v>
      </c>
      <c r="C103" s="266" t="s">
        <v>341</v>
      </c>
      <c r="D103" s="44">
        <v>230000460202005</v>
      </c>
      <c r="E103" s="22" t="s">
        <v>74</v>
      </c>
      <c r="F103" s="22">
        <v>2024</v>
      </c>
      <c r="G103" s="22">
        <v>5</v>
      </c>
      <c r="H103" s="22" t="s">
        <v>315</v>
      </c>
      <c r="I103" s="258">
        <v>45608</v>
      </c>
      <c r="J103" s="262">
        <v>2</v>
      </c>
      <c r="K103" s="275"/>
      <c r="L103" s="259">
        <f t="shared" si="3"/>
        <v>0</v>
      </c>
      <c r="M103" s="259">
        <v>50000</v>
      </c>
      <c r="N103" s="22" t="s">
        <v>297</v>
      </c>
      <c r="O103" s="267">
        <v>45429</v>
      </c>
      <c r="P103" s="300">
        <v>10925</v>
      </c>
      <c r="Q103" s="22">
        <v>1</v>
      </c>
      <c r="R103" s="425">
        <f t="shared" si="2"/>
        <v>10925</v>
      </c>
      <c r="S103" s="22" t="s">
        <v>316</v>
      </c>
      <c r="T103" s="22" t="s">
        <v>317</v>
      </c>
      <c r="U103" s="22" t="s">
        <v>318</v>
      </c>
      <c r="V103" s="22"/>
      <c r="W103" s="428"/>
    </row>
    <row r="104" spans="1:23" s="301" customFormat="1" ht="14.45" customHeight="1">
      <c r="A104" s="266" t="s">
        <v>340</v>
      </c>
      <c r="B104" s="22" t="str">
        <f>VLOOKUP(A104,[1]Sheet1!$A:$B,2,0)</f>
        <v>HP</v>
      </c>
      <c r="C104" s="266" t="s">
        <v>122</v>
      </c>
      <c r="D104" s="44">
        <v>230000960202007</v>
      </c>
      <c r="E104" s="22" t="s">
        <v>74</v>
      </c>
      <c r="F104" s="22">
        <v>2024</v>
      </c>
      <c r="G104" s="22">
        <v>5</v>
      </c>
      <c r="H104" s="22" t="s">
        <v>315</v>
      </c>
      <c r="I104" s="258">
        <v>45608</v>
      </c>
      <c r="J104" s="262">
        <v>2</v>
      </c>
      <c r="K104" s="275"/>
      <c r="L104" s="259">
        <f t="shared" si="3"/>
        <v>0</v>
      </c>
      <c r="M104" s="259">
        <v>50000</v>
      </c>
      <c r="N104" s="22" t="s">
        <v>297</v>
      </c>
      <c r="O104" s="267">
        <v>45429</v>
      </c>
      <c r="P104" s="300">
        <v>6270</v>
      </c>
      <c r="Q104" s="22">
        <v>1</v>
      </c>
      <c r="R104" s="425">
        <f t="shared" si="2"/>
        <v>6270</v>
      </c>
      <c r="S104" s="22" t="s">
        <v>316</v>
      </c>
      <c r="T104" s="22" t="s">
        <v>317</v>
      </c>
      <c r="U104" s="22" t="s">
        <v>318</v>
      </c>
      <c r="V104" s="22"/>
      <c r="W104" s="428"/>
    </row>
    <row r="105" spans="1:23" s="301" customFormat="1" ht="14.45" customHeight="1">
      <c r="A105" s="266" t="s">
        <v>340</v>
      </c>
      <c r="B105" s="22" t="str">
        <f>VLOOKUP(A105,[1]Sheet1!$A:$B,2,0)</f>
        <v>HP</v>
      </c>
      <c r="C105" s="266" t="s">
        <v>345</v>
      </c>
      <c r="D105" s="44">
        <v>230000960202006</v>
      </c>
      <c r="E105" s="22" t="s">
        <v>74</v>
      </c>
      <c r="F105" s="22">
        <v>2024</v>
      </c>
      <c r="G105" s="22">
        <v>5</v>
      </c>
      <c r="H105" s="22" t="s">
        <v>315</v>
      </c>
      <c r="I105" s="258">
        <v>45608</v>
      </c>
      <c r="J105" s="262">
        <v>2</v>
      </c>
      <c r="K105" s="275"/>
      <c r="L105" s="259">
        <f t="shared" si="3"/>
        <v>0</v>
      </c>
      <c r="M105" s="259">
        <v>50000</v>
      </c>
      <c r="N105" s="22" t="s">
        <v>297</v>
      </c>
      <c r="O105" s="267">
        <v>45429</v>
      </c>
      <c r="P105" s="300">
        <v>24225</v>
      </c>
      <c r="Q105" s="22">
        <v>1</v>
      </c>
      <c r="R105" s="425">
        <f t="shared" si="2"/>
        <v>24225</v>
      </c>
      <c r="S105" s="22" t="s">
        <v>316</v>
      </c>
      <c r="T105" s="22" t="s">
        <v>317</v>
      </c>
      <c r="U105" s="22" t="s">
        <v>318</v>
      </c>
      <c r="V105" s="22"/>
      <c r="W105" s="428"/>
    </row>
    <row r="106" spans="1:23" s="301" customFormat="1" ht="14.45" customHeight="1">
      <c r="A106" s="266" t="s">
        <v>340</v>
      </c>
      <c r="B106" s="22" t="str">
        <f>VLOOKUP(A106,[1]Sheet1!$A:$B,2,0)</f>
        <v>HP</v>
      </c>
      <c r="C106" s="266" t="s">
        <v>341</v>
      </c>
      <c r="D106" s="44">
        <v>230000460202005</v>
      </c>
      <c r="E106" s="22" t="s">
        <v>74</v>
      </c>
      <c r="F106" s="22">
        <v>2024</v>
      </c>
      <c r="G106" s="22">
        <v>7</v>
      </c>
      <c r="H106" s="22" t="s">
        <v>315</v>
      </c>
      <c r="I106" s="258">
        <v>45608</v>
      </c>
      <c r="J106" s="262">
        <v>2</v>
      </c>
      <c r="K106" s="275"/>
      <c r="L106" s="259">
        <f t="shared" si="3"/>
        <v>0</v>
      </c>
      <c r="M106" s="259">
        <v>50000</v>
      </c>
      <c r="N106" s="22" t="s">
        <v>297</v>
      </c>
      <c r="O106" s="267">
        <v>45482</v>
      </c>
      <c r="P106" s="300">
        <v>44850</v>
      </c>
      <c r="Q106" s="22">
        <v>1</v>
      </c>
      <c r="R106" s="425">
        <f t="shared" si="2"/>
        <v>44850</v>
      </c>
      <c r="S106" s="22" t="s">
        <v>316</v>
      </c>
      <c r="T106" s="22" t="s">
        <v>317</v>
      </c>
      <c r="U106" s="22" t="s">
        <v>318</v>
      </c>
      <c r="V106" s="22"/>
      <c r="W106" s="428"/>
    </row>
    <row r="107" spans="1:23" s="301" customFormat="1" ht="14.45" customHeight="1">
      <c r="A107" s="266" t="s">
        <v>340</v>
      </c>
      <c r="B107" s="22" t="str">
        <f>VLOOKUP(A107,[1]Sheet1!$A:$B,2,0)</f>
        <v>HP</v>
      </c>
      <c r="C107" s="266" t="s">
        <v>122</v>
      </c>
      <c r="D107" s="44">
        <v>230000960202007</v>
      </c>
      <c r="E107" s="22" t="s">
        <v>74</v>
      </c>
      <c r="F107" s="22">
        <v>2024</v>
      </c>
      <c r="G107" s="22">
        <v>7</v>
      </c>
      <c r="H107" s="22" t="s">
        <v>315</v>
      </c>
      <c r="I107" s="258">
        <v>45608</v>
      </c>
      <c r="J107" s="262">
        <v>2</v>
      </c>
      <c r="K107" s="275"/>
      <c r="L107" s="259">
        <f t="shared" si="3"/>
        <v>0</v>
      </c>
      <c r="M107" s="259">
        <v>50000</v>
      </c>
      <c r="N107" s="22" t="s">
        <v>297</v>
      </c>
      <c r="O107" s="267">
        <v>45482</v>
      </c>
      <c r="P107" s="300">
        <v>7912</v>
      </c>
      <c r="Q107" s="22">
        <v>1</v>
      </c>
      <c r="R107" s="425">
        <f t="shared" si="2"/>
        <v>7912</v>
      </c>
      <c r="S107" s="22" t="s">
        <v>316</v>
      </c>
      <c r="T107" s="22" t="s">
        <v>317</v>
      </c>
      <c r="U107" s="22" t="s">
        <v>318</v>
      </c>
      <c r="V107" s="22"/>
      <c r="W107" s="428"/>
    </row>
    <row r="108" spans="1:23" s="301" customFormat="1" ht="14.45" customHeight="1">
      <c r="A108" s="266" t="s">
        <v>340</v>
      </c>
      <c r="B108" s="22" t="str">
        <f>VLOOKUP(A108,[1]Sheet1!$A:$B,2,0)</f>
        <v>HP</v>
      </c>
      <c r="C108" s="266" t="s">
        <v>345</v>
      </c>
      <c r="D108" s="44">
        <v>230000960202006</v>
      </c>
      <c r="E108" s="22" t="s">
        <v>74</v>
      </c>
      <c r="F108" s="22">
        <v>2024</v>
      </c>
      <c r="G108" s="22">
        <v>7</v>
      </c>
      <c r="H108" s="22" t="s">
        <v>315</v>
      </c>
      <c r="I108" s="258">
        <v>45608</v>
      </c>
      <c r="J108" s="262">
        <v>2</v>
      </c>
      <c r="K108" s="275"/>
      <c r="L108" s="259">
        <f t="shared" si="3"/>
        <v>0</v>
      </c>
      <c r="M108" s="259">
        <v>50000</v>
      </c>
      <c r="N108" s="22" t="s">
        <v>297</v>
      </c>
      <c r="O108" s="267">
        <v>45482</v>
      </c>
      <c r="P108" s="300">
        <v>44068</v>
      </c>
      <c r="Q108" s="22">
        <v>1</v>
      </c>
      <c r="R108" s="425">
        <f t="shared" si="2"/>
        <v>44068</v>
      </c>
      <c r="S108" s="22" t="s">
        <v>316</v>
      </c>
      <c r="T108" s="22" t="s">
        <v>317</v>
      </c>
      <c r="U108" s="22" t="s">
        <v>318</v>
      </c>
      <c r="V108" s="22"/>
      <c r="W108" s="428"/>
    </row>
    <row r="109" spans="1:23" s="301" customFormat="1" ht="14.45" customHeight="1">
      <c r="A109" s="266" t="s">
        <v>340</v>
      </c>
      <c r="B109" s="22" t="str">
        <f>VLOOKUP(A109,[1]Sheet1!$A:$B,2,0)</f>
        <v>HP</v>
      </c>
      <c r="C109" s="302" t="s">
        <v>342</v>
      </c>
      <c r="D109" s="22" t="s">
        <v>75</v>
      </c>
      <c r="E109" s="22" t="s">
        <v>74</v>
      </c>
      <c r="F109" s="22">
        <v>2024</v>
      </c>
      <c r="G109" s="22">
        <v>7</v>
      </c>
      <c r="H109" s="22" t="s">
        <v>315</v>
      </c>
      <c r="I109" s="258">
        <v>45608</v>
      </c>
      <c r="J109" s="262">
        <v>2</v>
      </c>
      <c r="K109" s="275"/>
      <c r="L109" s="259">
        <f t="shared" si="3"/>
        <v>0</v>
      </c>
      <c r="M109" s="259">
        <v>50000</v>
      </c>
      <c r="N109" s="22" t="s">
        <v>297</v>
      </c>
      <c r="O109" s="267">
        <v>45489</v>
      </c>
      <c r="P109" s="300">
        <v>65000</v>
      </c>
      <c r="Q109" s="22">
        <v>1</v>
      </c>
      <c r="R109" s="425">
        <f t="shared" si="2"/>
        <v>65000</v>
      </c>
      <c r="S109" s="22" t="s">
        <v>316</v>
      </c>
      <c r="T109" s="22" t="s">
        <v>317</v>
      </c>
      <c r="U109" s="22" t="s">
        <v>318</v>
      </c>
      <c r="V109" s="22"/>
      <c r="W109" s="428"/>
    </row>
    <row r="110" spans="1:23" s="301" customFormat="1" ht="14.45" customHeight="1">
      <c r="A110" s="266" t="s">
        <v>340</v>
      </c>
      <c r="B110" s="22" t="str">
        <f>VLOOKUP(A110,[1]Sheet1!$A:$B,2,0)</f>
        <v>HP</v>
      </c>
      <c r="C110" s="266" t="s">
        <v>341</v>
      </c>
      <c r="D110" s="44">
        <v>230000460202005</v>
      </c>
      <c r="E110" s="22" t="s">
        <v>74</v>
      </c>
      <c r="F110" s="22">
        <v>2024</v>
      </c>
      <c r="G110" s="22">
        <v>7</v>
      </c>
      <c r="H110" s="22" t="s">
        <v>315</v>
      </c>
      <c r="I110" s="258">
        <v>45608</v>
      </c>
      <c r="J110" s="262">
        <v>2</v>
      </c>
      <c r="K110" s="275"/>
      <c r="L110" s="259">
        <f t="shared" si="3"/>
        <v>0</v>
      </c>
      <c r="M110" s="259">
        <v>50000</v>
      </c>
      <c r="N110" s="22" t="s">
        <v>297</v>
      </c>
      <c r="O110" s="267">
        <v>45496</v>
      </c>
      <c r="P110" s="300">
        <v>4867.26</v>
      </c>
      <c r="Q110" s="22">
        <v>1</v>
      </c>
      <c r="R110" s="425">
        <f t="shared" si="2"/>
        <v>4867.26</v>
      </c>
      <c r="S110" s="22" t="s">
        <v>316</v>
      </c>
      <c r="T110" s="22" t="s">
        <v>317</v>
      </c>
      <c r="U110" s="22" t="s">
        <v>318</v>
      </c>
      <c r="V110" s="22"/>
      <c r="W110" s="428"/>
    </row>
    <row r="111" spans="1:23" s="301" customFormat="1" ht="14.45" customHeight="1">
      <c r="A111" s="266" t="s">
        <v>340</v>
      </c>
      <c r="B111" s="22" t="str">
        <f>VLOOKUP(A111,[1]Sheet1!$A:$B,2,0)</f>
        <v>HP</v>
      </c>
      <c r="C111" s="266" t="s">
        <v>122</v>
      </c>
      <c r="D111" s="44">
        <v>230000960202007</v>
      </c>
      <c r="E111" s="22" t="s">
        <v>74</v>
      </c>
      <c r="F111" s="22">
        <v>2024</v>
      </c>
      <c r="G111" s="22">
        <v>7</v>
      </c>
      <c r="H111" s="22" t="s">
        <v>315</v>
      </c>
      <c r="I111" s="258">
        <v>45608</v>
      </c>
      <c r="J111" s="262">
        <v>2</v>
      </c>
      <c r="K111" s="275"/>
      <c r="L111" s="259">
        <f t="shared" si="3"/>
        <v>0</v>
      </c>
      <c r="M111" s="259">
        <v>50000</v>
      </c>
      <c r="N111" s="22" t="s">
        <v>297</v>
      </c>
      <c r="O111" s="267">
        <v>45496</v>
      </c>
      <c r="P111" s="300">
        <v>7699.12</v>
      </c>
      <c r="Q111" s="22">
        <v>1</v>
      </c>
      <c r="R111" s="425">
        <f t="shared" si="2"/>
        <v>7699.12</v>
      </c>
      <c r="S111" s="22" t="s">
        <v>316</v>
      </c>
      <c r="T111" s="22" t="s">
        <v>317</v>
      </c>
      <c r="U111" s="22" t="s">
        <v>318</v>
      </c>
      <c r="V111" s="22"/>
      <c r="W111" s="428"/>
    </row>
    <row r="112" spans="1:23" s="301" customFormat="1" ht="14.45" customHeight="1">
      <c r="A112" s="268" t="s">
        <v>346</v>
      </c>
      <c r="B112" s="22" t="str">
        <f>VLOOKUP(A112,[1]Sheet1!$A:$B,2,0)</f>
        <v>MODI</v>
      </c>
      <c r="C112" s="269" t="s">
        <v>100</v>
      </c>
      <c r="D112" s="22" t="s">
        <v>75</v>
      </c>
      <c r="E112" s="22" t="s">
        <v>74</v>
      </c>
      <c r="F112" s="22">
        <v>2024</v>
      </c>
      <c r="G112" s="22">
        <v>4</v>
      </c>
      <c r="H112" s="22" t="s">
        <v>315</v>
      </c>
      <c r="I112" s="258">
        <v>45608</v>
      </c>
      <c r="J112" s="262">
        <v>2</v>
      </c>
      <c r="K112" s="275"/>
      <c r="L112" s="259">
        <f t="shared" si="3"/>
        <v>0</v>
      </c>
      <c r="M112" s="259">
        <v>50000</v>
      </c>
      <c r="N112" s="22" t="s">
        <v>296</v>
      </c>
      <c r="O112" s="267">
        <v>45383</v>
      </c>
      <c r="P112" s="270">
        <v>187000</v>
      </c>
      <c r="Q112" s="22">
        <v>1</v>
      </c>
      <c r="R112" s="425">
        <f t="shared" si="2"/>
        <v>187000</v>
      </c>
      <c r="S112" s="22" t="s">
        <v>347</v>
      </c>
      <c r="T112" s="22" t="s">
        <v>317</v>
      </c>
      <c r="U112" s="22" t="s">
        <v>318</v>
      </c>
      <c r="V112" s="22"/>
      <c r="W112" s="428"/>
    </row>
    <row r="113" spans="1:23" s="301" customFormat="1" ht="14.45" customHeight="1">
      <c r="A113" s="268" t="s">
        <v>346</v>
      </c>
      <c r="B113" s="22" t="str">
        <f>VLOOKUP(A113,[1]Sheet1!$A:$B,2,0)</f>
        <v>MODI</v>
      </c>
      <c r="C113" s="269" t="s">
        <v>112</v>
      </c>
      <c r="D113" s="22" t="s">
        <v>75</v>
      </c>
      <c r="E113" s="22" t="s">
        <v>74</v>
      </c>
      <c r="F113" s="22">
        <v>2024</v>
      </c>
      <c r="G113" s="22">
        <v>4</v>
      </c>
      <c r="H113" s="22" t="s">
        <v>315</v>
      </c>
      <c r="I113" s="258">
        <v>45608</v>
      </c>
      <c r="J113" s="262">
        <v>2</v>
      </c>
      <c r="K113" s="275"/>
      <c r="L113" s="259">
        <f t="shared" si="3"/>
        <v>0</v>
      </c>
      <c r="M113" s="259">
        <v>50000</v>
      </c>
      <c r="N113" s="22" t="s">
        <v>296</v>
      </c>
      <c r="O113" s="267">
        <v>45383</v>
      </c>
      <c r="P113" s="270">
        <v>75000</v>
      </c>
      <c r="Q113" s="22">
        <v>1</v>
      </c>
      <c r="R113" s="425">
        <f t="shared" si="2"/>
        <v>75000</v>
      </c>
      <c r="S113" s="22" t="s">
        <v>347</v>
      </c>
      <c r="T113" s="22" t="s">
        <v>317</v>
      </c>
      <c r="U113" s="22" t="s">
        <v>318</v>
      </c>
      <c r="V113" s="22"/>
      <c r="W113" s="428"/>
    </row>
    <row r="114" spans="1:23" s="301" customFormat="1" ht="14.45" customHeight="1">
      <c r="A114" s="280" t="s">
        <v>130</v>
      </c>
      <c r="B114" s="22" t="str">
        <f>VLOOKUP(A114,[1]Sheet1!$A:$B,2,0)</f>
        <v>MODI</v>
      </c>
      <c r="C114" s="32" t="s">
        <v>111</v>
      </c>
      <c r="D114" s="44">
        <v>130040670023442</v>
      </c>
      <c r="E114" s="22" t="s">
        <v>74</v>
      </c>
      <c r="F114" s="22">
        <v>2024</v>
      </c>
      <c r="G114" s="22">
        <v>2</v>
      </c>
      <c r="H114" s="22" t="s">
        <v>315</v>
      </c>
      <c r="I114" s="258">
        <v>45608</v>
      </c>
      <c r="J114" s="262">
        <v>2</v>
      </c>
      <c r="K114" s="275"/>
      <c r="L114" s="259">
        <f t="shared" si="3"/>
        <v>0</v>
      </c>
      <c r="M114" s="259">
        <v>50000</v>
      </c>
      <c r="N114" s="22" t="s">
        <v>297</v>
      </c>
      <c r="O114" s="281">
        <v>45341</v>
      </c>
      <c r="P114" s="303">
        <v>12655</v>
      </c>
      <c r="Q114" s="22">
        <v>1</v>
      </c>
      <c r="R114" s="425">
        <f t="shared" si="2"/>
        <v>12655</v>
      </c>
      <c r="S114" s="22" t="s">
        <v>316</v>
      </c>
      <c r="T114" s="22" t="s">
        <v>317</v>
      </c>
      <c r="U114" s="22" t="s">
        <v>318</v>
      </c>
      <c r="V114" s="22"/>
      <c r="W114" s="428"/>
    </row>
    <row r="115" spans="1:23" s="301" customFormat="1" ht="14.45" customHeight="1">
      <c r="A115" s="286" t="s">
        <v>130</v>
      </c>
      <c r="B115" s="22" t="str">
        <f>VLOOKUP(A115,[1]Sheet1!$A:$B,2,0)</f>
        <v>MODI</v>
      </c>
      <c r="C115" s="32" t="s">
        <v>114</v>
      </c>
      <c r="D115" s="44">
        <v>130040670023440</v>
      </c>
      <c r="E115" s="250" t="s">
        <v>74</v>
      </c>
      <c r="F115" s="250">
        <v>2024</v>
      </c>
      <c r="G115" s="250">
        <v>8</v>
      </c>
      <c r="H115" s="250" t="s">
        <v>325</v>
      </c>
      <c r="I115" s="258">
        <v>45608</v>
      </c>
      <c r="J115" s="262">
        <v>48</v>
      </c>
      <c r="K115" s="259">
        <v>2029684.8</v>
      </c>
      <c r="L115" s="259">
        <f t="shared" si="3"/>
        <v>2029684.8</v>
      </c>
      <c r="M115" s="259">
        <v>1000000</v>
      </c>
      <c r="N115" s="22" t="s">
        <v>299</v>
      </c>
      <c r="O115" s="271">
        <v>45533</v>
      </c>
      <c r="P115" s="287">
        <v>7759</v>
      </c>
      <c r="Q115" s="22">
        <v>1</v>
      </c>
      <c r="R115" s="425">
        <f t="shared" ref="R115" si="4">P115*Q115</f>
        <v>7759</v>
      </c>
      <c r="S115" s="22" t="s">
        <v>316</v>
      </c>
      <c r="T115" s="22" t="s">
        <v>317</v>
      </c>
      <c r="U115" s="22" t="s">
        <v>318</v>
      </c>
      <c r="V115" s="22"/>
      <c r="W115" s="428"/>
    </row>
    <row r="116" spans="1:23" s="301" customFormat="1" ht="14.45" customHeight="1">
      <c r="A116" s="272" t="s">
        <v>113</v>
      </c>
      <c r="B116" s="22" t="str">
        <f>VLOOKUP(A116,[1]Sheet1!$A:$B,2,0)</f>
        <v>MODI</v>
      </c>
      <c r="C116" s="32" t="s">
        <v>122</v>
      </c>
      <c r="D116" s="44">
        <v>130040670017669</v>
      </c>
      <c r="E116" s="22" t="s">
        <v>74</v>
      </c>
      <c r="F116" s="22">
        <v>2024</v>
      </c>
      <c r="G116" s="22">
        <v>4</v>
      </c>
      <c r="H116" s="250" t="s">
        <v>325</v>
      </c>
      <c r="I116" s="258">
        <v>45608</v>
      </c>
      <c r="J116" s="262">
        <v>48</v>
      </c>
      <c r="K116" s="275"/>
      <c r="L116" s="259">
        <f t="shared" si="3"/>
        <v>0</v>
      </c>
      <c r="M116" s="259">
        <v>1000000</v>
      </c>
      <c r="N116" s="22" t="s">
        <v>299</v>
      </c>
      <c r="O116" s="271">
        <v>45392</v>
      </c>
      <c r="P116" s="261">
        <v>6500</v>
      </c>
      <c r="Q116" s="22">
        <v>1</v>
      </c>
      <c r="R116" s="425">
        <f>P116*Q116</f>
        <v>6500</v>
      </c>
      <c r="S116" s="22" t="s">
        <v>316</v>
      </c>
      <c r="T116" s="22" t="s">
        <v>317</v>
      </c>
      <c r="U116" s="22" t="s">
        <v>318</v>
      </c>
      <c r="V116" s="22"/>
      <c r="W116" s="428"/>
    </row>
    <row r="117" spans="1:23" s="301" customFormat="1" ht="14.45" customHeight="1">
      <c r="A117" s="272" t="s">
        <v>86</v>
      </c>
      <c r="B117" s="22" t="str">
        <f>VLOOKUP(A117,[1]Sheet1!$A:$B,2,0)</f>
        <v>MODI</v>
      </c>
      <c r="C117" s="20" t="s">
        <v>87</v>
      </c>
      <c r="D117" s="44">
        <v>310493191000</v>
      </c>
      <c r="E117" s="22" t="s">
        <v>74</v>
      </c>
      <c r="F117" s="22">
        <v>2023</v>
      </c>
      <c r="G117" s="22">
        <v>1</v>
      </c>
      <c r="H117" s="22" t="s">
        <v>325</v>
      </c>
      <c r="I117" s="258">
        <v>45608</v>
      </c>
      <c r="J117" s="262">
        <v>32</v>
      </c>
      <c r="K117" s="275">
        <v>1524984</v>
      </c>
      <c r="L117" s="259">
        <f t="shared" si="3"/>
        <v>9149904</v>
      </c>
      <c r="M117" s="259">
        <v>1000000</v>
      </c>
      <c r="N117" s="22" t="s">
        <v>298</v>
      </c>
      <c r="O117" s="271">
        <v>45007</v>
      </c>
      <c r="P117" s="261">
        <v>995000</v>
      </c>
      <c r="Q117" s="22">
        <v>6</v>
      </c>
      <c r="R117" s="425">
        <f t="shared" ref="R117:R165" si="5">P117*Q117</f>
        <v>5970000</v>
      </c>
      <c r="S117" s="22" t="s">
        <v>348</v>
      </c>
      <c r="T117" s="22" t="s">
        <v>317</v>
      </c>
      <c r="U117" s="22" t="s">
        <v>318</v>
      </c>
      <c r="V117" s="22"/>
      <c r="W117" s="428"/>
    </row>
    <row r="118" spans="1:23" s="301" customFormat="1" ht="14.45" customHeight="1">
      <c r="A118" s="272" t="s">
        <v>86</v>
      </c>
      <c r="B118" s="22" t="str">
        <f>VLOOKUP(A118,[1]Sheet1!$A:$B,2,0)</f>
        <v>MODI</v>
      </c>
      <c r="C118" s="20" t="s">
        <v>89</v>
      </c>
      <c r="D118" s="44">
        <v>310493192000</v>
      </c>
      <c r="E118" s="22" t="s">
        <v>74</v>
      </c>
      <c r="F118" s="22">
        <v>2023</v>
      </c>
      <c r="G118" s="22">
        <v>1</v>
      </c>
      <c r="H118" s="22" t="s">
        <v>325</v>
      </c>
      <c r="I118" s="258">
        <v>45608</v>
      </c>
      <c r="J118" s="262">
        <v>48</v>
      </c>
      <c r="K118" s="275">
        <v>2134978</v>
      </c>
      <c r="L118" s="259">
        <f t="shared" si="3"/>
        <v>10674890</v>
      </c>
      <c r="M118" s="259">
        <v>1000000</v>
      </c>
      <c r="N118" s="22" t="s">
        <v>298</v>
      </c>
      <c r="O118" s="271">
        <v>45007</v>
      </c>
      <c r="P118" s="261">
        <v>502800</v>
      </c>
      <c r="Q118" s="22">
        <v>5</v>
      </c>
      <c r="R118" s="425">
        <f t="shared" si="5"/>
        <v>2514000</v>
      </c>
      <c r="S118" s="22" t="s">
        <v>348</v>
      </c>
      <c r="T118" s="22" t="s">
        <v>317</v>
      </c>
      <c r="U118" s="22" t="s">
        <v>318</v>
      </c>
      <c r="V118" s="22"/>
      <c r="W118" s="428"/>
    </row>
    <row r="119" spans="1:23" s="301" customFormat="1" ht="14.45" customHeight="1">
      <c r="A119" s="272" t="s">
        <v>86</v>
      </c>
      <c r="B119" s="22" t="str">
        <f>VLOOKUP(A119,[1]Sheet1!$A:$B,2,0)</f>
        <v>MODI</v>
      </c>
      <c r="C119" s="20" t="s">
        <v>90</v>
      </c>
      <c r="D119" s="44">
        <v>310493193000</v>
      </c>
      <c r="E119" s="22" t="s">
        <v>74</v>
      </c>
      <c r="F119" s="22">
        <v>2023</v>
      </c>
      <c r="G119" s="22">
        <v>1</v>
      </c>
      <c r="H119" s="22" t="s">
        <v>325</v>
      </c>
      <c r="I119" s="258">
        <v>45608</v>
      </c>
      <c r="J119" s="262">
        <v>48</v>
      </c>
      <c r="K119" s="275">
        <v>1779148</v>
      </c>
      <c r="L119" s="259">
        <f t="shared" si="3"/>
        <v>8895740</v>
      </c>
      <c r="M119" s="259">
        <v>1000000</v>
      </c>
      <c r="N119" s="22" t="s">
        <v>298</v>
      </c>
      <c r="O119" s="271">
        <v>45007</v>
      </c>
      <c r="P119" s="261">
        <v>593600</v>
      </c>
      <c r="Q119" s="22">
        <v>5</v>
      </c>
      <c r="R119" s="425">
        <f t="shared" si="5"/>
        <v>2968000</v>
      </c>
      <c r="S119" s="22" t="s">
        <v>348</v>
      </c>
      <c r="T119" s="22" t="s">
        <v>317</v>
      </c>
      <c r="U119" s="22" t="s">
        <v>318</v>
      </c>
      <c r="V119" s="22"/>
      <c r="W119" s="428"/>
    </row>
    <row r="120" spans="1:23" s="301" customFormat="1" ht="14.45" customHeight="1">
      <c r="A120" s="272" t="s">
        <v>86</v>
      </c>
      <c r="B120" s="22" t="str">
        <f>VLOOKUP(A120,[1]Sheet1!$A:$B,2,0)</f>
        <v>MODI</v>
      </c>
      <c r="C120" s="20" t="s">
        <v>91</v>
      </c>
      <c r="D120" s="44">
        <v>310493194000</v>
      </c>
      <c r="E120" s="22" t="s">
        <v>74</v>
      </c>
      <c r="F120" s="22">
        <v>2023</v>
      </c>
      <c r="G120" s="22">
        <v>1</v>
      </c>
      <c r="H120" s="22" t="s">
        <v>325</v>
      </c>
      <c r="I120" s="258">
        <v>45608</v>
      </c>
      <c r="J120" s="262">
        <v>48</v>
      </c>
      <c r="K120" s="275">
        <v>2052864</v>
      </c>
      <c r="L120" s="259">
        <f t="shared" ref="L120:L183" si="6">K120*Q120</f>
        <v>10264320</v>
      </c>
      <c r="M120" s="259">
        <v>1000000</v>
      </c>
      <c r="N120" s="22" t="s">
        <v>298</v>
      </c>
      <c r="O120" s="271">
        <v>45007</v>
      </c>
      <c r="P120" s="261">
        <v>680000</v>
      </c>
      <c r="Q120" s="22">
        <v>5</v>
      </c>
      <c r="R120" s="425">
        <f t="shared" si="5"/>
        <v>3400000</v>
      </c>
      <c r="S120" s="22" t="s">
        <v>348</v>
      </c>
      <c r="T120" s="22" t="s">
        <v>317</v>
      </c>
      <c r="U120" s="22" t="s">
        <v>318</v>
      </c>
      <c r="V120" s="22"/>
      <c r="W120" s="428"/>
    </row>
    <row r="121" spans="1:23" s="301" customFormat="1" ht="14.45" customHeight="1">
      <c r="A121" s="272" t="s">
        <v>86</v>
      </c>
      <c r="B121" s="22" t="str">
        <f>VLOOKUP(A121,[1]Sheet1!$A:$B,2,0)</f>
        <v>MODI</v>
      </c>
      <c r="C121" s="20" t="s">
        <v>95</v>
      </c>
      <c r="D121" s="22" t="s">
        <v>75</v>
      </c>
      <c r="E121" s="22" t="s">
        <v>74</v>
      </c>
      <c r="F121" s="22">
        <v>2023</v>
      </c>
      <c r="G121" s="22">
        <v>1</v>
      </c>
      <c r="H121" s="22" t="s">
        <v>325</v>
      </c>
      <c r="I121" s="258">
        <v>45608</v>
      </c>
      <c r="J121" s="262">
        <v>48</v>
      </c>
      <c r="K121" s="275">
        <v>3431215</v>
      </c>
      <c r="L121" s="259">
        <f t="shared" si="6"/>
        <v>10293645</v>
      </c>
      <c r="M121" s="259">
        <v>1000000</v>
      </c>
      <c r="N121" s="22" t="s">
        <v>298</v>
      </c>
      <c r="O121" s="271">
        <v>45007</v>
      </c>
      <c r="P121" s="261">
        <v>550000</v>
      </c>
      <c r="Q121" s="22">
        <v>3</v>
      </c>
      <c r="R121" s="425">
        <f t="shared" si="5"/>
        <v>1650000</v>
      </c>
      <c r="S121" s="22" t="s">
        <v>348</v>
      </c>
      <c r="T121" s="22" t="s">
        <v>317</v>
      </c>
      <c r="U121" s="22" t="s">
        <v>318</v>
      </c>
      <c r="V121" s="22"/>
      <c r="W121" s="428"/>
    </row>
    <row r="122" spans="1:23" s="301" customFormat="1" ht="14.45" customHeight="1">
      <c r="A122" s="22" t="s">
        <v>18</v>
      </c>
      <c r="B122" s="22" t="str">
        <f>VLOOKUP(A122,[1]Sheet1!$A:$B,2,0)</f>
        <v>RCS POD</v>
      </c>
      <c r="C122" s="22" t="s">
        <v>100</v>
      </c>
      <c r="D122" s="44">
        <v>130040670029868</v>
      </c>
      <c r="E122" s="22" t="s">
        <v>74</v>
      </c>
      <c r="F122" s="22">
        <v>2024</v>
      </c>
      <c r="G122" s="22">
        <v>2</v>
      </c>
      <c r="H122" s="22" t="s">
        <v>325</v>
      </c>
      <c r="I122" s="258">
        <v>45608</v>
      </c>
      <c r="J122" s="262">
        <v>32</v>
      </c>
      <c r="K122" s="305">
        <v>1797120</v>
      </c>
      <c r="L122" s="259">
        <f t="shared" si="6"/>
        <v>14376960</v>
      </c>
      <c r="M122" s="259">
        <v>1000000</v>
      </c>
      <c r="N122" s="22" t="s">
        <v>298</v>
      </c>
      <c r="O122" s="260">
        <v>45352</v>
      </c>
      <c r="P122" s="261">
        <v>1114150.875</v>
      </c>
      <c r="Q122" s="22">
        <v>8</v>
      </c>
      <c r="R122" s="425">
        <f t="shared" si="5"/>
        <v>8913207</v>
      </c>
      <c r="S122" s="22" t="s">
        <v>349</v>
      </c>
      <c r="T122" s="22" t="s">
        <v>317</v>
      </c>
      <c r="U122" s="22" t="s">
        <v>318</v>
      </c>
      <c r="V122" s="22"/>
      <c r="W122" s="428"/>
    </row>
    <row r="123" spans="1:23" s="301" customFormat="1" ht="14.45" customHeight="1">
      <c r="A123" s="22" t="s">
        <v>18</v>
      </c>
      <c r="B123" s="22" t="str">
        <f>VLOOKUP(A123,[1]Sheet1!$A:$B,2,0)</f>
        <v>RCS POD</v>
      </c>
      <c r="C123" s="37" t="s">
        <v>104</v>
      </c>
      <c r="D123" s="44">
        <v>130040670020899</v>
      </c>
      <c r="E123" s="22" t="s">
        <v>74</v>
      </c>
      <c r="F123" s="22">
        <v>2024</v>
      </c>
      <c r="G123" s="22">
        <v>2</v>
      </c>
      <c r="H123" s="22" t="s">
        <v>325</v>
      </c>
      <c r="I123" s="258">
        <v>45608</v>
      </c>
      <c r="J123" s="262">
        <v>48</v>
      </c>
      <c r="K123" s="305">
        <v>2965248</v>
      </c>
      <c r="L123" s="259">
        <f t="shared" si="6"/>
        <v>14826240</v>
      </c>
      <c r="M123" s="259">
        <v>1000000</v>
      </c>
      <c r="N123" s="22" t="s">
        <v>298</v>
      </c>
      <c r="O123" s="260">
        <v>45352</v>
      </c>
      <c r="P123" s="261">
        <v>1178696.8</v>
      </c>
      <c r="Q123" s="22">
        <v>5</v>
      </c>
      <c r="R123" s="425">
        <f t="shared" si="5"/>
        <v>5893484</v>
      </c>
      <c r="S123" s="22" t="s">
        <v>349</v>
      </c>
      <c r="T123" s="22" t="s">
        <v>317</v>
      </c>
      <c r="U123" s="22" t="s">
        <v>318</v>
      </c>
      <c r="V123" s="22"/>
      <c r="W123" s="428"/>
    </row>
    <row r="124" spans="1:23" s="301" customFormat="1" ht="14.45" customHeight="1">
      <c r="A124" s="22" t="s">
        <v>18</v>
      </c>
      <c r="B124" s="22" t="str">
        <f>VLOOKUP(A124,[1]Sheet1!$A:$B,2,0)</f>
        <v>RCS POD</v>
      </c>
      <c r="C124" s="37" t="s">
        <v>105</v>
      </c>
      <c r="D124" s="44">
        <v>130040670020898</v>
      </c>
      <c r="E124" s="22" t="s">
        <v>74</v>
      </c>
      <c r="F124" s="22">
        <v>2024</v>
      </c>
      <c r="G124" s="22">
        <v>2</v>
      </c>
      <c r="H124" s="22" t="s">
        <v>325</v>
      </c>
      <c r="I124" s="258">
        <v>45608</v>
      </c>
      <c r="J124" s="262">
        <v>48</v>
      </c>
      <c r="K124" s="305">
        <v>2965248</v>
      </c>
      <c r="L124" s="259">
        <f t="shared" si="6"/>
        <v>14826240</v>
      </c>
      <c r="M124" s="259">
        <v>1000000</v>
      </c>
      <c r="N124" s="22" t="s">
        <v>298</v>
      </c>
      <c r="O124" s="260">
        <v>45352</v>
      </c>
      <c r="P124" s="261">
        <v>1159839.3999999999</v>
      </c>
      <c r="Q124" s="22">
        <v>5</v>
      </c>
      <c r="R124" s="425">
        <f t="shared" si="5"/>
        <v>5799197</v>
      </c>
      <c r="S124" s="22" t="s">
        <v>349</v>
      </c>
      <c r="T124" s="22" t="s">
        <v>317</v>
      </c>
      <c r="U124" s="22" t="s">
        <v>318</v>
      </c>
      <c r="V124" s="22"/>
      <c r="W124" s="428"/>
    </row>
    <row r="125" spans="1:23" s="301" customFormat="1" ht="14.45" customHeight="1">
      <c r="A125" s="22" t="s">
        <v>96</v>
      </c>
      <c r="B125" s="22" t="str">
        <f>VLOOKUP(A125,[1]Sheet1!$A:$B,2,0)</f>
        <v>MODI</v>
      </c>
      <c r="C125" s="37" t="s">
        <v>97</v>
      </c>
      <c r="D125" s="22">
        <v>353003232</v>
      </c>
      <c r="E125" s="22" t="s">
        <v>74</v>
      </c>
      <c r="F125" s="22">
        <v>2022</v>
      </c>
      <c r="G125" s="22">
        <v>3</v>
      </c>
      <c r="H125" s="22" t="s">
        <v>325</v>
      </c>
      <c r="I125" s="258">
        <v>45608</v>
      </c>
      <c r="J125" s="262">
        <v>8</v>
      </c>
      <c r="K125" s="275">
        <v>385097.14285714284</v>
      </c>
      <c r="L125" s="259">
        <f t="shared" si="6"/>
        <v>770194.28571428568</v>
      </c>
      <c r="M125" s="259">
        <v>1000000</v>
      </c>
      <c r="N125" s="22" t="s">
        <v>298</v>
      </c>
      <c r="O125" s="260">
        <v>44621</v>
      </c>
      <c r="P125" s="261">
        <f>415000</f>
        <v>415000</v>
      </c>
      <c r="Q125" s="22">
        <v>2</v>
      </c>
      <c r="R125" s="425">
        <f t="shared" si="5"/>
        <v>830000</v>
      </c>
      <c r="S125" s="22" t="s">
        <v>348</v>
      </c>
      <c r="T125" s="22" t="s">
        <v>317</v>
      </c>
      <c r="U125" s="22" t="s">
        <v>318</v>
      </c>
      <c r="V125" s="22"/>
      <c r="W125" s="428"/>
    </row>
    <row r="126" spans="1:23" s="301" customFormat="1" ht="14.45" customHeight="1">
      <c r="A126" s="22" t="s">
        <v>96</v>
      </c>
      <c r="B126" s="22" t="str">
        <f>VLOOKUP(A126,[1]Sheet1!$A:$B,2,0)</f>
        <v>MODI</v>
      </c>
      <c r="C126" s="37" t="s">
        <v>98</v>
      </c>
      <c r="D126" s="22">
        <v>353003233</v>
      </c>
      <c r="E126" s="22" t="s">
        <v>74</v>
      </c>
      <c r="F126" s="22">
        <v>2022</v>
      </c>
      <c r="G126" s="22">
        <v>3</v>
      </c>
      <c r="H126" s="22" t="s">
        <v>325</v>
      </c>
      <c r="I126" s="258">
        <v>45608</v>
      </c>
      <c r="J126" s="262">
        <v>32</v>
      </c>
      <c r="K126" s="275">
        <v>1925485.7142857143</v>
      </c>
      <c r="L126" s="259">
        <f t="shared" si="6"/>
        <v>1925485.7142857143</v>
      </c>
      <c r="M126" s="259">
        <v>1000000</v>
      </c>
      <c r="N126" s="22" t="s">
        <v>298</v>
      </c>
      <c r="O126" s="260">
        <v>44621</v>
      </c>
      <c r="P126" s="261">
        <v>396100</v>
      </c>
      <c r="Q126" s="22">
        <v>1</v>
      </c>
      <c r="R126" s="425">
        <f t="shared" si="5"/>
        <v>396100</v>
      </c>
      <c r="S126" s="22" t="s">
        <v>348</v>
      </c>
      <c r="T126" s="22" t="s">
        <v>317</v>
      </c>
      <c r="U126" s="22" t="s">
        <v>318</v>
      </c>
      <c r="V126" s="22"/>
      <c r="W126" s="428"/>
    </row>
    <row r="127" spans="1:23" s="301" customFormat="1" ht="14.45" customHeight="1">
      <c r="A127" s="22" t="s">
        <v>96</v>
      </c>
      <c r="B127" s="22" t="str">
        <f>VLOOKUP(A127,[1]Sheet1!$A:$B,2,0)</f>
        <v>MODI</v>
      </c>
      <c r="C127" s="37" t="s">
        <v>99</v>
      </c>
      <c r="D127" s="22">
        <v>353003231</v>
      </c>
      <c r="E127" s="22" t="s">
        <v>74</v>
      </c>
      <c r="F127" s="22">
        <v>2022</v>
      </c>
      <c r="G127" s="22">
        <v>3</v>
      </c>
      <c r="H127" s="22" t="s">
        <v>325</v>
      </c>
      <c r="I127" s="258">
        <v>45608</v>
      </c>
      <c r="J127" s="262">
        <v>16</v>
      </c>
      <c r="K127" s="275">
        <v>770194.28571428568</v>
      </c>
      <c r="L127" s="259">
        <f t="shared" si="6"/>
        <v>770194.28571428568</v>
      </c>
      <c r="M127" s="259">
        <v>1000000</v>
      </c>
      <c r="N127" s="22" t="s">
        <v>298</v>
      </c>
      <c r="O127" s="260">
        <v>44621</v>
      </c>
      <c r="P127" s="261">
        <v>450000</v>
      </c>
      <c r="Q127" s="22">
        <v>1</v>
      </c>
      <c r="R127" s="425">
        <f t="shared" si="5"/>
        <v>450000</v>
      </c>
      <c r="S127" s="22" t="s">
        <v>348</v>
      </c>
      <c r="T127" s="22" t="s">
        <v>317</v>
      </c>
      <c r="U127" s="22" t="s">
        <v>318</v>
      </c>
      <c r="V127" s="22"/>
      <c r="W127" s="428"/>
    </row>
    <row r="128" spans="1:23" s="301" customFormat="1" ht="14.45" customHeight="1">
      <c r="A128" s="22" t="s">
        <v>106</v>
      </c>
      <c r="B128" s="22" t="str">
        <f>VLOOKUP(A128,[1]Sheet1!$A:$B,2,0)</f>
        <v>MODI</v>
      </c>
      <c r="C128" s="32" t="s">
        <v>100</v>
      </c>
      <c r="D128" s="44">
        <v>130040670018928</v>
      </c>
      <c r="E128" s="22" t="s">
        <v>74</v>
      </c>
      <c r="F128" s="22">
        <v>2024</v>
      </c>
      <c r="G128" s="22">
        <v>1</v>
      </c>
      <c r="H128" s="22" t="s">
        <v>325</v>
      </c>
      <c r="I128" s="258">
        <v>45608</v>
      </c>
      <c r="J128" s="262">
        <v>24</v>
      </c>
      <c r="K128" s="259">
        <v>1067040</v>
      </c>
      <c r="L128" s="259">
        <f t="shared" si="6"/>
        <v>5335200</v>
      </c>
      <c r="M128" s="259">
        <v>1000000</v>
      </c>
      <c r="N128" s="22" t="s">
        <v>298</v>
      </c>
      <c r="O128" s="260">
        <v>45322</v>
      </c>
      <c r="P128" s="261">
        <v>840000</v>
      </c>
      <c r="Q128" s="22">
        <v>5</v>
      </c>
      <c r="R128" s="425">
        <f t="shared" si="5"/>
        <v>4200000</v>
      </c>
      <c r="S128" s="22" t="s">
        <v>316</v>
      </c>
      <c r="T128" s="22" t="s">
        <v>317</v>
      </c>
      <c r="U128" s="22" t="s">
        <v>318</v>
      </c>
      <c r="V128" s="22"/>
      <c r="W128" s="428"/>
    </row>
    <row r="129" spans="1:23" s="301" customFormat="1" ht="14.45" customHeight="1">
      <c r="A129" s="22" t="s">
        <v>106</v>
      </c>
      <c r="B129" s="22" t="str">
        <f>VLOOKUP(A129,[1]Sheet1!$A:$B,2,0)</f>
        <v>MODI</v>
      </c>
      <c r="C129" s="32" t="s">
        <v>104</v>
      </c>
      <c r="D129" s="44">
        <v>130040670018929</v>
      </c>
      <c r="E129" s="22" t="s">
        <v>74</v>
      </c>
      <c r="F129" s="22">
        <v>2024</v>
      </c>
      <c r="G129" s="22">
        <v>1</v>
      </c>
      <c r="H129" s="22" t="s">
        <v>325</v>
      </c>
      <c r="I129" s="258">
        <v>45608</v>
      </c>
      <c r="J129" s="262">
        <v>48</v>
      </c>
      <c r="K129" s="259">
        <v>2490280</v>
      </c>
      <c r="L129" s="259">
        <f t="shared" si="6"/>
        <v>4980560</v>
      </c>
      <c r="M129" s="259">
        <v>1000000</v>
      </c>
      <c r="N129" s="22" t="s">
        <v>298</v>
      </c>
      <c r="O129" s="260">
        <v>45322</v>
      </c>
      <c r="P129" s="261">
        <v>451000</v>
      </c>
      <c r="Q129" s="22">
        <v>2</v>
      </c>
      <c r="R129" s="425">
        <f t="shared" si="5"/>
        <v>902000</v>
      </c>
      <c r="S129" s="22" t="s">
        <v>316</v>
      </c>
      <c r="T129" s="22" t="s">
        <v>317</v>
      </c>
      <c r="U129" s="22" t="s">
        <v>318</v>
      </c>
      <c r="V129" s="22"/>
      <c r="W129" s="428"/>
    </row>
    <row r="130" spans="1:23" s="301" customFormat="1" ht="14.45" customHeight="1">
      <c r="A130" s="22" t="s">
        <v>106</v>
      </c>
      <c r="B130" s="22" t="str">
        <f>VLOOKUP(A130,[1]Sheet1!$A:$B,2,0)</f>
        <v>MODI</v>
      </c>
      <c r="C130" s="32" t="s">
        <v>108</v>
      </c>
      <c r="D130" s="44">
        <v>130040670018930</v>
      </c>
      <c r="E130" s="22" t="s">
        <v>74</v>
      </c>
      <c r="F130" s="22">
        <v>2024</v>
      </c>
      <c r="G130" s="22">
        <v>1</v>
      </c>
      <c r="H130" s="22" t="s">
        <v>325</v>
      </c>
      <c r="I130" s="258">
        <v>45608</v>
      </c>
      <c r="J130" s="262">
        <v>48</v>
      </c>
      <c r="K130" s="275">
        <v>2490280</v>
      </c>
      <c r="L130" s="259">
        <f t="shared" si="6"/>
        <v>4980560</v>
      </c>
      <c r="M130" s="259">
        <v>1000000</v>
      </c>
      <c r="N130" s="22" t="s">
        <v>298</v>
      </c>
      <c r="O130" s="260">
        <v>45322</v>
      </c>
      <c r="P130" s="261">
        <v>514000</v>
      </c>
      <c r="Q130" s="22">
        <v>2</v>
      </c>
      <c r="R130" s="425">
        <f t="shared" si="5"/>
        <v>1028000</v>
      </c>
      <c r="S130" s="22" t="s">
        <v>316</v>
      </c>
      <c r="T130" s="22" t="s">
        <v>317</v>
      </c>
      <c r="U130" s="22" t="s">
        <v>318</v>
      </c>
      <c r="V130" s="22"/>
      <c r="W130" s="428"/>
    </row>
    <row r="131" spans="1:23" s="301" customFormat="1" ht="14.45" customHeight="1">
      <c r="A131" s="22" t="s">
        <v>106</v>
      </c>
      <c r="B131" s="22" t="str">
        <f>VLOOKUP(A131,[1]Sheet1!$A:$B,2,0)</f>
        <v>MODI</v>
      </c>
      <c r="C131" s="32" t="s">
        <v>109</v>
      </c>
      <c r="D131" s="44">
        <v>130040670027765</v>
      </c>
      <c r="E131" s="22" t="s">
        <v>74</v>
      </c>
      <c r="F131" s="22">
        <v>2024</v>
      </c>
      <c r="G131" s="22">
        <v>1</v>
      </c>
      <c r="H131" s="22" t="s">
        <v>325</v>
      </c>
      <c r="I131" s="258">
        <v>45608</v>
      </c>
      <c r="J131" s="262">
        <v>48</v>
      </c>
      <c r="K131" s="275">
        <v>2574566</v>
      </c>
      <c r="L131" s="259">
        <f t="shared" si="6"/>
        <v>10298264</v>
      </c>
      <c r="M131" s="259">
        <v>1000000</v>
      </c>
      <c r="N131" s="22" t="s">
        <v>298</v>
      </c>
      <c r="O131" s="260">
        <v>45322</v>
      </c>
      <c r="P131" s="261">
        <v>380000</v>
      </c>
      <c r="Q131" s="22">
        <v>4</v>
      </c>
      <c r="R131" s="425">
        <f t="shared" si="5"/>
        <v>1520000</v>
      </c>
      <c r="S131" s="22" t="s">
        <v>316</v>
      </c>
      <c r="T131" s="22" t="s">
        <v>317</v>
      </c>
      <c r="U131" s="22" t="s">
        <v>318</v>
      </c>
      <c r="V131" s="22"/>
      <c r="W131" s="428"/>
    </row>
    <row r="132" spans="1:23" s="301" customFormat="1" ht="14.45" customHeight="1">
      <c r="A132" s="22" t="s">
        <v>106</v>
      </c>
      <c r="B132" s="22" t="str">
        <f>VLOOKUP(A132,[1]Sheet1!$A:$B,2,0)</f>
        <v>MODI</v>
      </c>
      <c r="C132" s="32" t="s">
        <v>111</v>
      </c>
      <c r="D132" s="44">
        <v>130040670018919</v>
      </c>
      <c r="E132" s="22" t="s">
        <v>74</v>
      </c>
      <c r="F132" s="22">
        <v>2024</v>
      </c>
      <c r="G132" s="22">
        <v>1</v>
      </c>
      <c r="H132" s="22" t="s">
        <v>325</v>
      </c>
      <c r="I132" s="258">
        <v>45608</v>
      </c>
      <c r="J132" s="262">
        <v>48</v>
      </c>
      <c r="K132" s="259">
        <v>1969920</v>
      </c>
      <c r="L132" s="259">
        <f t="shared" si="6"/>
        <v>3939840</v>
      </c>
      <c r="M132" s="259">
        <v>1000000</v>
      </c>
      <c r="N132" s="22" t="s">
        <v>298</v>
      </c>
      <c r="O132" s="260">
        <v>45322</v>
      </c>
      <c r="P132" s="261">
        <v>850000</v>
      </c>
      <c r="Q132" s="22">
        <v>2</v>
      </c>
      <c r="R132" s="425">
        <f t="shared" si="5"/>
        <v>1700000</v>
      </c>
      <c r="S132" s="22" t="s">
        <v>316</v>
      </c>
      <c r="T132" s="22" t="s">
        <v>317</v>
      </c>
      <c r="U132" s="22" t="s">
        <v>318</v>
      </c>
      <c r="V132" s="22"/>
      <c r="W132" s="428"/>
    </row>
    <row r="133" spans="1:23" s="301" customFormat="1" ht="14.45" customHeight="1">
      <c r="A133" s="22" t="s">
        <v>106</v>
      </c>
      <c r="B133" s="22" t="str">
        <f>VLOOKUP(A133,[1]Sheet1!$A:$B,2,0)</f>
        <v>MODI</v>
      </c>
      <c r="C133" s="32" t="s">
        <v>112</v>
      </c>
      <c r="D133" s="44">
        <v>130040670018925</v>
      </c>
      <c r="E133" s="22" t="s">
        <v>74</v>
      </c>
      <c r="F133" s="22">
        <v>2024</v>
      </c>
      <c r="G133" s="22">
        <v>1</v>
      </c>
      <c r="H133" s="22" t="s">
        <v>325</v>
      </c>
      <c r="I133" s="258">
        <v>45608</v>
      </c>
      <c r="J133" s="262">
        <v>48</v>
      </c>
      <c r="K133" s="275">
        <v>2817880</v>
      </c>
      <c r="L133" s="259">
        <f t="shared" si="6"/>
        <v>5635760</v>
      </c>
      <c r="M133" s="259">
        <v>1000000</v>
      </c>
      <c r="N133" s="22" t="s">
        <v>298</v>
      </c>
      <c r="O133" s="260">
        <v>45322</v>
      </c>
      <c r="P133" s="261">
        <v>257000</v>
      </c>
      <c r="Q133" s="22">
        <v>2</v>
      </c>
      <c r="R133" s="425">
        <f t="shared" si="5"/>
        <v>514000</v>
      </c>
      <c r="S133" s="22" t="s">
        <v>316</v>
      </c>
      <c r="T133" s="22" t="s">
        <v>317</v>
      </c>
      <c r="U133" s="22" t="s">
        <v>318</v>
      </c>
      <c r="V133" s="22"/>
      <c r="W133" s="428"/>
    </row>
    <row r="134" spans="1:23" s="301" customFormat="1" ht="14.45" customHeight="1">
      <c r="A134" s="22" t="s">
        <v>113</v>
      </c>
      <c r="B134" s="22" t="str">
        <f>VLOOKUP(A134,[1]Sheet1!$A:$B,2,0)</f>
        <v>MODI</v>
      </c>
      <c r="C134" s="32" t="s">
        <v>114</v>
      </c>
      <c r="D134" s="44">
        <v>130040670023899</v>
      </c>
      <c r="E134" s="22" t="s">
        <v>74</v>
      </c>
      <c r="F134" s="22">
        <v>2024</v>
      </c>
      <c r="G134" s="22">
        <v>1</v>
      </c>
      <c r="H134" s="22" t="s">
        <v>325</v>
      </c>
      <c r="I134" s="258">
        <v>45608</v>
      </c>
      <c r="J134" s="262">
        <v>48</v>
      </c>
      <c r="K134" s="275">
        <v>2008545.6</v>
      </c>
      <c r="L134" s="259">
        <f t="shared" si="6"/>
        <v>2008545.6</v>
      </c>
      <c r="M134" s="259">
        <v>1000000</v>
      </c>
      <c r="N134" s="22" t="s">
        <v>298</v>
      </c>
      <c r="O134" s="260">
        <v>45322</v>
      </c>
      <c r="P134" s="261">
        <v>1100000</v>
      </c>
      <c r="Q134" s="22">
        <v>1</v>
      </c>
      <c r="R134" s="425">
        <f t="shared" si="5"/>
        <v>1100000</v>
      </c>
      <c r="S134" s="22" t="s">
        <v>316</v>
      </c>
      <c r="T134" s="22" t="s">
        <v>317</v>
      </c>
      <c r="U134" s="22" t="s">
        <v>318</v>
      </c>
      <c r="V134" s="22"/>
      <c r="W134" s="428"/>
    </row>
    <row r="135" spans="1:23" s="301" customFormat="1" ht="14.45" customHeight="1">
      <c r="A135" s="22" t="s">
        <v>113</v>
      </c>
      <c r="B135" s="22" t="str">
        <f>VLOOKUP(A135,[1]Sheet1!$A:$B,2,0)</f>
        <v>MODI</v>
      </c>
      <c r="C135" s="32" t="s">
        <v>111</v>
      </c>
      <c r="D135" s="44">
        <v>130040670023900</v>
      </c>
      <c r="E135" s="22" t="s">
        <v>74</v>
      </c>
      <c r="F135" s="22">
        <v>2024</v>
      </c>
      <c r="G135" s="22">
        <v>1</v>
      </c>
      <c r="H135" s="22" t="s">
        <v>325</v>
      </c>
      <c r="I135" s="258">
        <v>45608</v>
      </c>
      <c r="J135" s="262">
        <v>48</v>
      </c>
      <c r="K135" s="259">
        <v>1969920</v>
      </c>
      <c r="L135" s="259">
        <f t="shared" si="6"/>
        <v>1969920</v>
      </c>
      <c r="M135" s="259">
        <v>1000000</v>
      </c>
      <c r="N135" s="22" t="s">
        <v>298</v>
      </c>
      <c r="O135" s="260">
        <v>45322</v>
      </c>
      <c r="P135" s="261">
        <v>999000</v>
      </c>
      <c r="Q135" s="22">
        <v>1</v>
      </c>
      <c r="R135" s="425">
        <f t="shared" si="5"/>
        <v>999000</v>
      </c>
      <c r="S135" s="22" t="s">
        <v>316</v>
      </c>
      <c r="T135" s="22" t="s">
        <v>317</v>
      </c>
      <c r="U135" s="22" t="s">
        <v>318</v>
      </c>
      <c r="V135" s="22"/>
      <c r="W135" s="428"/>
    </row>
    <row r="136" spans="1:23" s="301" customFormat="1" ht="14.45" customHeight="1">
      <c r="A136" s="22" t="s">
        <v>113</v>
      </c>
      <c r="B136" s="22" t="str">
        <f>VLOOKUP(A136,[1]Sheet1!$A:$B,2,0)</f>
        <v>MODI</v>
      </c>
      <c r="C136" s="32" t="s">
        <v>116</v>
      </c>
      <c r="D136" s="44">
        <v>130040670023906</v>
      </c>
      <c r="E136" s="22" t="s">
        <v>74</v>
      </c>
      <c r="F136" s="22">
        <v>2024</v>
      </c>
      <c r="G136" s="22">
        <v>1</v>
      </c>
      <c r="H136" s="22" t="s">
        <v>325</v>
      </c>
      <c r="I136" s="258">
        <v>45608</v>
      </c>
      <c r="J136" s="262">
        <v>48</v>
      </c>
      <c r="K136" s="275">
        <v>2609152</v>
      </c>
      <c r="L136" s="259">
        <f t="shared" si="6"/>
        <v>2609152</v>
      </c>
      <c r="M136" s="259">
        <v>1000000</v>
      </c>
      <c r="N136" s="22" t="s">
        <v>298</v>
      </c>
      <c r="O136" s="260">
        <v>45322</v>
      </c>
      <c r="P136" s="261">
        <v>355000</v>
      </c>
      <c r="Q136" s="22">
        <v>1</v>
      </c>
      <c r="R136" s="425">
        <f t="shared" si="5"/>
        <v>355000</v>
      </c>
      <c r="S136" s="22" t="s">
        <v>316</v>
      </c>
      <c r="T136" s="22" t="s">
        <v>317</v>
      </c>
      <c r="U136" s="22" t="s">
        <v>318</v>
      </c>
      <c r="V136" s="22"/>
      <c r="W136" s="428"/>
    </row>
    <row r="137" spans="1:23" s="301" customFormat="1" ht="14.45" customHeight="1">
      <c r="A137" s="22" t="s">
        <v>113</v>
      </c>
      <c r="B137" s="22" t="str">
        <f>VLOOKUP(A137,[1]Sheet1!$A:$B,2,0)</f>
        <v>MODI</v>
      </c>
      <c r="C137" s="32" t="s">
        <v>119</v>
      </c>
      <c r="D137" s="44">
        <v>130040670039455</v>
      </c>
      <c r="E137" s="22" t="s">
        <v>74</v>
      </c>
      <c r="F137" s="22">
        <v>2024</v>
      </c>
      <c r="G137" s="22">
        <v>1</v>
      </c>
      <c r="H137" s="22" t="s">
        <v>325</v>
      </c>
      <c r="I137" s="258">
        <v>45608</v>
      </c>
      <c r="J137" s="262">
        <v>48</v>
      </c>
      <c r="K137" s="275">
        <v>2515968</v>
      </c>
      <c r="L137" s="259">
        <f t="shared" si="6"/>
        <v>5031936</v>
      </c>
      <c r="M137" s="259">
        <v>1000000</v>
      </c>
      <c r="N137" s="22" t="s">
        <v>298</v>
      </c>
      <c r="O137" s="260">
        <v>45322</v>
      </c>
      <c r="P137" s="261">
        <v>510000</v>
      </c>
      <c r="Q137" s="22">
        <v>2</v>
      </c>
      <c r="R137" s="425">
        <f t="shared" si="5"/>
        <v>1020000</v>
      </c>
      <c r="S137" s="22" t="s">
        <v>316</v>
      </c>
      <c r="T137" s="22" t="s">
        <v>317</v>
      </c>
      <c r="U137" s="22" t="s">
        <v>318</v>
      </c>
      <c r="V137" s="22"/>
      <c r="W137" s="428"/>
    </row>
    <row r="138" spans="1:23" s="301" customFormat="1" ht="14.45" customHeight="1">
      <c r="A138" s="22" t="s">
        <v>113</v>
      </c>
      <c r="B138" s="22" t="str">
        <f>VLOOKUP(A138,[1]Sheet1!$A:$B,2,0)</f>
        <v>MODI</v>
      </c>
      <c r="C138" s="32" t="s">
        <v>121</v>
      </c>
      <c r="D138" s="44">
        <v>130040670039442</v>
      </c>
      <c r="E138" s="22" t="s">
        <v>74</v>
      </c>
      <c r="F138" s="22">
        <v>2024</v>
      </c>
      <c r="G138" s="22">
        <v>1</v>
      </c>
      <c r="H138" s="22" t="s">
        <v>325</v>
      </c>
      <c r="I138" s="258">
        <v>45608</v>
      </c>
      <c r="J138" s="262">
        <v>48</v>
      </c>
      <c r="K138" s="275">
        <v>2515968</v>
      </c>
      <c r="L138" s="259">
        <f t="shared" si="6"/>
        <v>5031936</v>
      </c>
      <c r="M138" s="259">
        <v>1000000</v>
      </c>
      <c r="N138" s="22" t="s">
        <v>298</v>
      </c>
      <c r="O138" s="260">
        <v>45322</v>
      </c>
      <c r="P138" s="261">
        <v>510000</v>
      </c>
      <c r="Q138" s="22">
        <v>2</v>
      </c>
      <c r="R138" s="425">
        <f t="shared" si="5"/>
        <v>1020000</v>
      </c>
      <c r="S138" s="22" t="s">
        <v>316</v>
      </c>
      <c r="T138" s="22" t="s">
        <v>317</v>
      </c>
      <c r="U138" s="22" t="s">
        <v>318</v>
      </c>
      <c r="V138" s="22"/>
      <c r="W138" s="428"/>
    </row>
    <row r="139" spans="1:23" s="301" customFormat="1" ht="14.45" customHeight="1">
      <c r="A139" s="22" t="s">
        <v>113</v>
      </c>
      <c r="B139" s="22" t="str">
        <f>VLOOKUP(A139,[1]Sheet1!$A:$B,2,0)</f>
        <v>MODI</v>
      </c>
      <c r="C139" s="32" t="s">
        <v>122</v>
      </c>
      <c r="D139" s="44">
        <v>130040670017669</v>
      </c>
      <c r="E139" s="22" t="s">
        <v>74</v>
      </c>
      <c r="F139" s="22">
        <v>2024</v>
      </c>
      <c r="G139" s="22">
        <v>1</v>
      </c>
      <c r="H139" s="22" t="s">
        <v>325</v>
      </c>
      <c r="I139" s="258">
        <v>45608</v>
      </c>
      <c r="J139" s="262">
        <v>48</v>
      </c>
      <c r="K139" s="275">
        <v>2709491</v>
      </c>
      <c r="L139" s="259">
        <f t="shared" si="6"/>
        <v>5418982</v>
      </c>
      <c r="M139" s="259">
        <v>1000000</v>
      </c>
      <c r="N139" s="22" t="s">
        <v>298</v>
      </c>
      <c r="O139" s="260">
        <v>45322</v>
      </c>
      <c r="P139" s="261">
        <v>380000</v>
      </c>
      <c r="Q139" s="22">
        <v>2</v>
      </c>
      <c r="R139" s="425">
        <f t="shared" si="5"/>
        <v>760000</v>
      </c>
      <c r="S139" s="22" t="s">
        <v>316</v>
      </c>
      <c r="T139" s="22" t="s">
        <v>317</v>
      </c>
      <c r="U139" s="22" t="s">
        <v>318</v>
      </c>
      <c r="V139" s="22"/>
      <c r="W139" s="428"/>
    </row>
    <row r="140" spans="1:23" s="301" customFormat="1" ht="14.45" customHeight="1">
      <c r="A140" s="22" t="s">
        <v>124</v>
      </c>
      <c r="B140" s="22" t="str">
        <f>VLOOKUP(A140,[1]Sheet1!$A:$B,2,0)</f>
        <v>MODI</v>
      </c>
      <c r="C140" s="32" t="s">
        <v>100</v>
      </c>
      <c r="D140" s="44">
        <v>130040670021245</v>
      </c>
      <c r="E140" s="22" t="s">
        <v>74</v>
      </c>
      <c r="F140" s="22">
        <v>2024</v>
      </c>
      <c r="G140" s="22">
        <v>1</v>
      </c>
      <c r="H140" s="22" t="s">
        <v>325</v>
      </c>
      <c r="I140" s="258">
        <v>45608</v>
      </c>
      <c r="J140" s="262">
        <v>32</v>
      </c>
      <c r="K140" s="275">
        <v>1517568</v>
      </c>
      <c r="L140" s="259">
        <f t="shared" si="6"/>
        <v>7587840</v>
      </c>
      <c r="M140" s="259">
        <v>1000000</v>
      </c>
      <c r="N140" s="22" t="s">
        <v>298</v>
      </c>
      <c r="O140" s="260">
        <v>45322</v>
      </c>
      <c r="P140" s="261">
        <v>630000</v>
      </c>
      <c r="Q140" s="22">
        <v>5</v>
      </c>
      <c r="R140" s="425">
        <f t="shared" si="5"/>
        <v>3150000</v>
      </c>
      <c r="S140" s="22" t="s">
        <v>316</v>
      </c>
      <c r="T140" s="22" t="s">
        <v>317</v>
      </c>
      <c r="U140" s="22" t="s">
        <v>318</v>
      </c>
      <c r="V140" s="22"/>
      <c r="W140" s="428"/>
    </row>
    <row r="141" spans="1:23" s="301" customFormat="1" ht="14.45" customHeight="1">
      <c r="A141" s="22" t="s">
        <v>124</v>
      </c>
      <c r="B141" s="22" t="str">
        <f>VLOOKUP(A141,[1]Sheet1!$A:$B,2,0)</f>
        <v>MODI</v>
      </c>
      <c r="C141" s="32" t="s">
        <v>104</v>
      </c>
      <c r="D141" s="44">
        <v>130040670021246</v>
      </c>
      <c r="E141" s="22" t="s">
        <v>74</v>
      </c>
      <c r="F141" s="22">
        <v>2024</v>
      </c>
      <c r="G141" s="22">
        <v>1</v>
      </c>
      <c r="H141" s="22" t="s">
        <v>325</v>
      </c>
      <c r="I141" s="258">
        <v>45608</v>
      </c>
      <c r="J141" s="262">
        <v>48</v>
      </c>
      <c r="K141" s="259">
        <v>2737152</v>
      </c>
      <c r="L141" s="259">
        <f t="shared" si="6"/>
        <v>8211456</v>
      </c>
      <c r="M141" s="259">
        <v>1000000</v>
      </c>
      <c r="N141" s="22" t="s">
        <v>298</v>
      </c>
      <c r="O141" s="260">
        <v>45322</v>
      </c>
      <c r="P141" s="261">
        <v>450000</v>
      </c>
      <c r="Q141" s="22">
        <v>3</v>
      </c>
      <c r="R141" s="425">
        <f t="shared" si="5"/>
        <v>1350000</v>
      </c>
      <c r="S141" s="22" t="s">
        <v>316</v>
      </c>
      <c r="T141" s="22" t="s">
        <v>317</v>
      </c>
      <c r="U141" s="22" t="s">
        <v>318</v>
      </c>
      <c r="V141" s="22"/>
      <c r="W141" s="428"/>
    </row>
    <row r="142" spans="1:23" s="301" customFormat="1" ht="14.45" customHeight="1">
      <c r="A142" s="22" t="s">
        <v>124</v>
      </c>
      <c r="B142" s="22" t="str">
        <f>VLOOKUP(A142,[1]Sheet1!$A:$B,2,0)</f>
        <v>MODI</v>
      </c>
      <c r="C142" s="32" t="s">
        <v>108</v>
      </c>
      <c r="D142" s="44">
        <v>130040670026558</v>
      </c>
      <c r="E142" s="22" t="s">
        <v>74</v>
      </c>
      <c r="F142" s="22">
        <v>2024</v>
      </c>
      <c r="G142" s="22">
        <v>1</v>
      </c>
      <c r="H142" s="22" t="s">
        <v>325</v>
      </c>
      <c r="I142" s="258">
        <v>45608</v>
      </c>
      <c r="J142" s="262">
        <v>48</v>
      </c>
      <c r="K142" s="275">
        <v>2635776</v>
      </c>
      <c r="L142" s="259">
        <f t="shared" si="6"/>
        <v>7907328</v>
      </c>
      <c r="M142" s="259">
        <v>1000000</v>
      </c>
      <c r="N142" s="22" t="s">
        <v>298</v>
      </c>
      <c r="O142" s="260">
        <v>45322</v>
      </c>
      <c r="P142" s="261">
        <v>510000</v>
      </c>
      <c r="Q142" s="22">
        <v>3</v>
      </c>
      <c r="R142" s="425">
        <f t="shared" si="5"/>
        <v>1530000</v>
      </c>
      <c r="S142" s="22" t="s">
        <v>316</v>
      </c>
      <c r="T142" s="22" t="s">
        <v>317</v>
      </c>
      <c r="U142" s="22" t="s">
        <v>318</v>
      </c>
      <c r="V142" s="22"/>
      <c r="W142" s="428"/>
    </row>
    <row r="143" spans="1:23" s="301" customFormat="1" ht="14.45" customHeight="1">
      <c r="A143" s="22" t="s">
        <v>124</v>
      </c>
      <c r="B143" s="22" t="str">
        <f>VLOOKUP(A143,[1]Sheet1!$A:$B,2,0)</f>
        <v>MODI</v>
      </c>
      <c r="C143" s="32" t="s">
        <v>126</v>
      </c>
      <c r="D143" s="44">
        <v>130040670021244</v>
      </c>
      <c r="E143" s="22" t="s">
        <v>74</v>
      </c>
      <c r="F143" s="22">
        <v>2024</v>
      </c>
      <c r="G143" s="22">
        <v>1</v>
      </c>
      <c r="H143" s="22" t="s">
        <v>325</v>
      </c>
      <c r="I143" s="258">
        <v>45608</v>
      </c>
      <c r="J143" s="262">
        <v>48</v>
      </c>
      <c r="K143" s="275">
        <v>2324275.2000000002</v>
      </c>
      <c r="L143" s="259">
        <f t="shared" si="6"/>
        <v>4648550.4000000004</v>
      </c>
      <c r="M143" s="259">
        <v>1000000</v>
      </c>
      <c r="N143" s="22" t="s">
        <v>298</v>
      </c>
      <c r="O143" s="260">
        <v>45322</v>
      </c>
      <c r="P143" s="261">
        <v>630000</v>
      </c>
      <c r="Q143" s="22">
        <v>2</v>
      </c>
      <c r="R143" s="425">
        <f t="shared" si="5"/>
        <v>1260000</v>
      </c>
      <c r="S143" s="22" t="s">
        <v>316</v>
      </c>
      <c r="T143" s="22" t="s">
        <v>317</v>
      </c>
      <c r="U143" s="22" t="s">
        <v>318</v>
      </c>
      <c r="V143" s="22"/>
      <c r="W143" s="428"/>
    </row>
    <row r="144" spans="1:23" s="301" customFormat="1" ht="14.45" customHeight="1">
      <c r="A144" s="22" t="s">
        <v>127</v>
      </c>
      <c r="B144" s="22" t="str">
        <f>VLOOKUP(A144,[1]Sheet1!$A:$B,2,0)</f>
        <v>MODI</v>
      </c>
      <c r="C144" s="32" t="s">
        <v>111</v>
      </c>
      <c r="D144" s="44">
        <v>130040670017656</v>
      </c>
      <c r="E144" s="22" t="s">
        <v>74</v>
      </c>
      <c r="F144" s="22">
        <v>2024</v>
      </c>
      <c r="G144" s="22">
        <v>1</v>
      </c>
      <c r="H144" s="22" t="s">
        <v>325</v>
      </c>
      <c r="I144" s="258">
        <v>45608</v>
      </c>
      <c r="J144" s="262">
        <v>48</v>
      </c>
      <c r="K144" s="275">
        <v>2324275.2000000002</v>
      </c>
      <c r="L144" s="259">
        <f t="shared" si="6"/>
        <v>2324275.2000000002</v>
      </c>
      <c r="M144" s="259">
        <v>1000000</v>
      </c>
      <c r="N144" s="22" t="s">
        <v>298</v>
      </c>
      <c r="O144" s="260">
        <v>45322</v>
      </c>
      <c r="P144" s="261">
        <v>525000</v>
      </c>
      <c r="Q144" s="22">
        <v>1</v>
      </c>
      <c r="R144" s="425">
        <f t="shared" si="5"/>
        <v>525000</v>
      </c>
      <c r="S144" s="22" t="s">
        <v>316</v>
      </c>
      <c r="T144" s="22" t="s">
        <v>317</v>
      </c>
      <c r="U144" s="22" t="s">
        <v>318</v>
      </c>
      <c r="V144" s="22"/>
      <c r="W144" s="428"/>
    </row>
    <row r="145" spans="1:27" s="301" customFormat="1" ht="14.45" customHeight="1">
      <c r="A145" s="22" t="s">
        <v>127</v>
      </c>
      <c r="B145" s="22" t="str">
        <f>VLOOKUP(A145,[1]Sheet1!$A:$B,2,0)</f>
        <v>MODI</v>
      </c>
      <c r="C145" s="32" t="s">
        <v>114</v>
      </c>
      <c r="D145" s="44">
        <v>130040670017662</v>
      </c>
      <c r="E145" s="22" t="s">
        <v>74</v>
      </c>
      <c r="F145" s="22">
        <v>2024</v>
      </c>
      <c r="G145" s="22">
        <v>1</v>
      </c>
      <c r="H145" s="22" t="s">
        <v>325</v>
      </c>
      <c r="I145" s="258">
        <v>45608</v>
      </c>
      <c r="J145" s="262">
        <v>48</v>
      </c>
      <c r="K145" s="275">
        <v>2709491.2</v>
      </c>
      <c r="L145" s="259">
        <f t="shared" si="6"/>
        <v>2709491.2</v>
      </c>
      <c r="M145" s="259">
        <v>1000000</v>
      </c>
      <c r="N145" s="22" t="s">
        <v>298</v>
      </c>
      <c r="O145" s="260">
        <v>45322</v>
      </c>
      <c r="P145" s="261">
        <v>589000</v>
      </c>
      <c r="Q145" s="22">
        <v>1</v>
      </c>
      <c r="R145" s="425">
        <f t="shared" si="5"/>
        <v>589000</v>
      </c>
      <c r="S145" s="22" t="s">
        <v>316</v>
      </c>
      <c r="T145" s="22" t="s">
        <v>317</v>
      </c>
      <c r="U145" s="22" t="s">
        <v>318</v>
      </c>
      <c r="V145" s="22"/>
      <c r="W145" s="428"/>
    </row>
    <row r="146" spans="1:27" s="301" customFormat="1" ht="14.45" customHeight="1">
      <c r="A146" s="22" t="s">
        <v>127</v>
      </c>
      <c r="B146" s="22" t="str">
        <f>VLOOKUP(A146,[1]Sheet1!$A:$B,2,0)</f>
        <v>MODI</v>
      </c>
      <c r="C146" s="32" t="s">
        <v>129</v>
      </c>
      <c r="D146" s="44">
        <v>130040670017658</v>
      </c>
      <c r="E146" s="22" t="s">
        <v>74</v>
      </c>
      <c r="F146" s="22">
        <v>2024</v>
      </c>
      <c r="G146" s="22">
        <v>1</v>
      </c>
      <c r="H146" s="22" t="s">
        <v>325</v>
      </c>
      <c r="I146" s="258">
        <v>45608</v>
      </c>
      <c r="J146" s="262">
        <v>48</v>
      </c>
      <c r="K146" s="275">
        <v>2709491.2</v>
      </c>
      <c r="L146" s="259">
        <f t="shared" si="6"/>
        <v>2709491.2</v>
      </c>
      <c r="M146" s="259">
        <v>1000000</v>
      </c>
      <c r="N146" s="22" t="s">
        <v>298</v>
      </c>
      <c r="O146" s="260">
        <v>45322</v>
      </c>
      <c r="P146" s="261">
        <v>325000</v>
      </c>
      <c r="Q146" s="22">
        <v>1</v>
      </c>
      <c r="R146" s="425">
        <f t="shared" si="5"/>
        <v>325000</v>
      </c>
      <c r="S146" s="22" t="s">
        <v>316</v>
      </c>
      <c r="T146" s="22" t="s">
        <v>317</v>
      </c>
      <c r="U146" s="22" t="s">
        <v>318</v>
      </c>
      <c r="V146" s="22"/>
      <c r="W146" s="428"/>
    </row>
    <row r="147" spans="1:27" s="301" customFormat="1" ht="14.45" customHeight="1">
      <c r="A147" s="22" t="s">
        <v>130</v>
      </c>
      <c r="B147" s="22" t="str">
        <f>VLOOKUP(A147,[1]Sheet1!$A:$B,2,0)</f>
        <v>MODI</v>
      </c>
      <c r="C147" s="32" t="s">
        <v>100</v>
      </c>
      <c r="D147" s="44">
        <v>130040670023444</v>
      </c>
      <c r="E147" s="22" t="s">
        <v>74</v>
      </c>
      <c r="F147" s="22">
        <v>2024</v>
      </c>
      <c r="G147" s="22">
        <v>1</v>
      </c>
      <c r="H147" s="22" t="s">
        <v>325</v>
      </c>
      <c r="I147" s="258">
        <v>45608</v>
      </c>
      <c r="J147" s="262">
        <v>24</v>
      </c>
      <c r="K147" s="275">
        <v>922833.60000000009</v>
      </c>
      <c r="L147" s="259">
        <f t="shared" si="6"/>
        <v>1845667.2000000002</v>
      </c>
      <c r="M147" s="259">
        <v>1000000</v>
      </c>
      <c r="N147" s="22" t="s">
        <v>298</v>
      </c>
      <c r="O147" s="260">
        <v>45322</v>
      </c>
      <c r="P147" s="261">
        <v>990000</v>
      </c>
      <c r="Q147" s="22">
        <v>2</v>
      </c>
      <c r="R147" s="425">
        <f t="shared" si="5"/>
        <v>1980000</v>
      </c>
      <c r="S147" s="22" t="s">
        <v>316</v>
      </c>
      <c r="T147" s="22" t="s">
        <v>317</v>
      </c>
      <c r="U147" s="22" t="s">
        <v>318</v>
      </c>
      <c r="V147" s="22"/>
      <c r="W147" s="428"/>
    </row>
    <row r="148" spans="1:27" s="301" customFormat="1" ht="14.45" customHeight="1">
      <c r="A148" s="22" t="s">
        <v>130</v>
      </c>
      <c r="B148" s="22" t="str">
        <f>VLOOKUP(A148,[1]Sheet1!$A:$B,2,0)</f>
        <v>MODI</v>
      </c>
      <c r="C148" s="32" t="s">
        <v>104</v>
      </c>
      <c r="D148" s="44">
        <v>130040670023445</v>
      </c>
      <c r="E148" s="22" t="s">
        <v>74</v>
      </c>
      <c r="F148" s="22">
        <v>2024</v>
      </c>
      <c r="G148" s="22">
        <v>1</v>
      </c>
      <c r="H148" s="22" t="s">
        <v>325</v>
      </c>
      <c r="I148" s="258">
        <v>45608</v>
      </c>
      <c r="J148" s="262">
        <v>48</v>
      </c>
      <c r="K148" s="275">
        <v>2404417.6</v>
      </c>
      <c r="L148" s="259">
        <f t="shared" si="6"/>
        <v>2404417.6</v>
      </c>
      <c r="M148" s="259">
        <v>1000000</v>
      </c>
      <c r="N148" s="22" t="s">
        <v>298</v>
      </c>
      <c r="O148" s="260">
        <v>45322</v>
      </c>
      <c r="P148" s="261">
        <v>570000</v>
      </c>
      <c r="Q148" s="22">
        <v>1</v>
      </c>
      <c r="R148" s="425">
        <f t="shared" si="5"/>
        <v>570000</v>
      </c>
      <c r="S148" s="22" t="s">
        <v>316</v>
      </c>
      <c r="T148" s="22" t="s">
        <v>317</v>
      </c>
      <c r="U148" s="22" t="s">
        <v>318</v>
      </c>
      <c r="V148" s="22"/>
      <c r="W148" s="428"/>
    </row>
    <row r="149" spans="1:27" s="301" customFormat="1" ht="14.45" customHeight="1">
      <c r="A149" s="22" t="s">
        <v>130</v>
      </c>
      <c r="B149" s="22" t="str">
        <f>VLOOKUP(A149,[1]Sheet1!$A:$B,2,0)</f>
        <v>MODI</v>
      </c>
      <c r="C149" s="32" t="s">
        <v>108</v>
      </c>
      <c r="D149" s="44">
        <v>130040670023448</v>
      </c>
      <c r="E149" s="22" t="s">
        <v>74</v>
      </c>
      <c r="F149" s="22">
        <v>2024</v>
      </c>
      <c r="G149" s="22">
        <v>1</v>
      </c>
      <c r="H149" s="22" t="s">
        <v>325</v>
      </c>
      <c r="I149" s="258">
        <v>45608</v>
      </c>
      <c r="J149" s="262">
        <v>48</v>
      </c>
      <c r="K149" s="275">
        <v>2404417.6</v>
      </c>
      <c r="L149" s="259">
        <f t="shared" si="6"/>
        <v>2404417.6</v>
      </c>
      <c r="M149" s="259">
        <v>1000000</v>
      </c>
      <c r="N149" s="22" t="s">
        <v>298</v>
      </c>
      <c r="O149" s="260">
        <v>45322</v>
      </c>
      <c r="P149" s="261">
        <v>615000</v>
      </c>
      <c r="Q149" s="22">
        <v>1</v>
      </c>
      <c r="R149" s="425">
        <f t="shared" si="5"/>
        <v>615000</v>
      </c>
      <c r="S149" s="22" t="s">
        <v>316</v>
      </c>
      <c r="T149" s="22" t="s">
        <v>317</v>
      </c>
      <c r="U149" s="22" t="s">
        <v>318</v>
      </c>
      <c r="V149" s="22"/>
      <c r="W149" s="428"/>
    </row>
    <row r="150" spans="1:27" s="301" customFormat="1" ht="14.45" customHeight="1">
      <c r="A150" s="22" t="s">
        <v>130</v>
      </c>
      <c r="B150" s="22" t="str">
        <f>VLOOKUP(A150,[1]Sheet1!$A:$B,2,0)</f>
        <v>MODI</v>
      </c>
      <c r="C150" s="32" t="s">
        <v>114</v>
      </c>
      <c r="D150" s="44">
        <v>130040670023440</v>
      </c>
      <c r="E150" s="22" t="s">
        <v>74</v>
      </c>
      <c r="F150" s="22">
        <v>2024</v>
      </c>
      <c r="G150" s="22">
        <v>1</v>
      </c>
      <c r="H150" s="22" t="s">
        <v>325</v>
      </c>
      <c r="I150" s="258">
        <v>45608</v>
      </c>
      <c r="J150" s="262">
        <v>48</v>
      </c>
      <c r="K150" s="259">
        <v>2029684.8</v>
      </c>
      <c r="L150" s="259">
        <f t="shared" si="6"/>
        <v>2029684.8</v>
      </c>
      <c r="M150" s="259">
        <v>1000000</v>
      </c>
      <c r="N150" s="22" t="s">
        <v>298</v>
      </c>
      <c r="O150" s="260">
        <v>45322</v>
      </c>
      <c r="P150" s="261">
        <v>1100000</v>
      </c>
      <c r="Q150" s="22">
        <v>1</v>
      </c>
      <c r="R150" s="425">
        <f t="shared" si="5"/>
        <v>1100000</v>
      </c>
      <c r="S150" s="22" t="s">
        <v>316</v>
      </c>
      <c r="T150" s="22" t="s">
        <v>317</v>
      </c>
      <c r="U150" s="22" t="s">
        <v>318</v>
      </c>
      <c r="V150" s="22"/>
      <c r="W150" s="428"/>
    </row>
    <row r="151" spans="1:27" s="301" customFormat="1" ht="14.45" customHeight="1">
      <c r="A151" s="22" t="s">
        <v>130</v>
      </c>
      <c r="B151" s="22" t="str">
        <f>VLOOKUP(A151,[1]Sheet1!$A:$B,2,0)</f>
        <v>MODI</v>
      </c>
      <c r="C151" s="32" t="s">
        <v>111</v>
      </c>
      <c r="D151" s="44">
        <v>130040670023442</v>
      </c>
      <c r="E151" s="22" t="s">
        <v>74</v>
      </c>
      <c r="F151" s="22">
        <v>2024</v>
      </c>
      <c r="G151" s="22">
        <v>1</v>
      </c>
      <c r="H151" s="22" t="s">
        <v>325</v>
      </c>
      <c r="I151" s="258">
        <v>45608</v>
      </c>
      <c r="J151" s="262">
        <v>48</v>
      </c>
      <c r="K151" s="275">
        <v>2134080</v>
      </c>
      <c r="L151" s="259">
        <f t="shared" si="6"/>
        <v>2134080</v>
      </c>
      <c r="M151" s="259">
        <v>1000000</v>
      </c>
      <c r="N151" s="22" t="s">
        <v>298</v>
      </c>
      <c r="O151" s="260">
        <v>45322</v>
      </c>
      <c r="P151" s="261">
        <v>999000</v>
      </c>
      <c r="Q151" s="22">
        <v>1</v>
      </c>
      <c r="R151" s="425">
        <f t="shared" si="5"/>
        <v>999000</v>
      </c>
      <c r="S151" s="22" t="s">
        <v>316</v>
      </c>
      <c r="T151" s="22" t="s">
        <v>317</v>
      </c>
      <c r="U151" s="22" t="s">
        <v>318</v>
      </c>
      <c r="V151" s="22"/>
      <c r="W151" s="428"/>
    </row>
    <row r="152" spans="1:27" s="301" customFormat="1" ht="14.45" customHeight="1">
      <c r="A152" s="22" t="s">
        <v>130</v>
      </c>
      <c r="B152" s="22" t="str">
        <f>VLOOKUP(A152,[1]Sheet1!$A:$B,2,0)</f>
        <v>MODI</v>
      </c>
      <c r="C152" s="32" t="s">
        <v>132</v>
      </c>
      <c r="D152" s="44">
        <v>130040670024534</v>
      </c>
      <c r="E152" s="22" t="s">
        <v>74</v>
      </c>
      <c r="F152" s="22">
        <v>2024</v>
      </c>
      <c r="G152" s="22">
        <v>1</v>
      </c>
      <c r="H152" s="22" t="s">
        <v>325</v>
      </c>
      <c r="I152" s="258">
        <v>45608</v>
      </c>
      <c r="J152" s="262">
        <v>48</v>
      </c>
      <c r="K152" s="259">
        <v>2935296</v>
      </c>
      <c r="L152" s="259">
        <f t="shared" si="6"/>
        <v>2935296</v>
      </c>
      <c r="M152" s="259">
        <v>1000000</v>
      </c>
      <c r="N152" s="22" t="s">
        <v>298</v>
      </c>
      <c r="O152" s="260">
        <v>45322</v>
      </c>
      <c r="P152" s="261">
        <v>345000</v>
      </c>
      <c r="Q152" s="22">
        <v>1</v>
      </c>
      <c r="R152" s="425">
        <f t="shared" si="5"/>
        <v>345000</v>
      </c>
      <c r="S152" s="22" t="s">
        <v>316</v>
      </c>
      <c r="T152" s="22" t="s">
        <v>317</v>
      </c>
      <c r="U152" s="22" t="s">
        <v>318</v>
      </c>
      <c r="V152" s="22"/>
      <c r="W152" s="428"/>
    </row>
    <row r="153" spans="1:27" s="301" customFormat="1" ht="14.45" customHeight="1">
      <c r="A153" s="22" t="s">
        <v>130</v>
      </c>
      <c r="B153" s="22" t="str">
        <f>VLOOKUP(A153,[1]Sheet1!$A:$B,2,0)</f>
        <v>MODI</v>
      </c>
      <c r="C153" s="32" t="s">
        <v>133</v>
      </c>
      <c r="D153" s="44">
        <v>130040670023443</v>
      </c>
      <c r="E153" s="22" t="s">
        <v>74</v>
      </c>
      <c r="F153" s="22">
        <v>2024</v>
      </c>
      <c r="G153" s="22">
        <v>1</v>
      </c>
      <c r="H153" s="22" t="s">
        <v>325</v>
      </c>
      <c r="I153" s="258">
        <v>45608</v>
      </c>
      <c r="J153" s="262">
        <v>48</v>
      </c>
      <c r="K153" s="275">
        <v>2817880</v>
      </c>
      <c r="L153" s="259">
        <f t="shared" si="6"/>
        <v>2817880</v>
      </c>
      <c r="M153" s="259">
        <v>1000000</v>
      </c>
      <c r="N153" s="22" t="s">
        <v>298</v>
      </c>
      <c r="O153" s="260">
        <v>45322</v>
      </c>
      <c r="P153" s="261">
        <v>315000</v>
      </c>
      <c r="Q153" s="22">
        <v>1</v>
      </c>
      <c r="R153" s="425">
        <f t="shared" si="5"/>
        <v>315000</v>
      </c>
      <c r="S153" s="22" t="s">
        <v>316</v>
      </c>
      <c r="T153" s="22" t="s">
        <v>317</v>
      </c>
      <c r="U153" s="22" t="s">
        <v>318</v>
      </c>
      <c r="V153" s="22"/>
      <c r="W153" s="428"/>
    </row>
    <row r="154" spans="1:27" s="301" customFormat="1" ht="14.45" customHeight="1">
      <c r="A154" s="264" t="s">
        <v>339</v>
      </c>
      <c r="B154" s="22" t="str">
        <f>VLOOKUP(A154,[1]Sheet1!$A:$B,2,0)</f>
        <v>RCS POD</v>
      </c>
      <c r="C154" s="32" t="s">
        <v>100</v>
      </c>
      <c r="D154" s="44">
        <v>130010670071926</v>
      </c>
      <c r="E154" s="22" t="s">
        <v>74</v>
      </c>
      <c r="F154" s="22">
        <v>2024</v>
      </c>
      <c r="G154" s="22">
        <v>8</v>
      </c>
      <c r="H154" s="22" t="s">
        <v>325</v>
      </c>
      <c r="I154" s="258">
        <v>45608</v>
      </c>
      <c r="J154" s="262">
        <v>16</v>
      </c>
      <c r="K154" s="275">
        <v>1022242</v>
      </c>
      <c r="L154" s="259">
        <f t="shared" si="6"/>
        <v>1022242</v>
      </c>
      <c r="M154" s="259">
        <v>1000000</v>
      </c>
      <c r="N154" s="22" t="s">
        <v>298</v>
      </c>
      <c r="O154" s="260">
        <v>45496</v>
      </c>
      <c r="P154" s="261">
        <v>558000</v>
      </c>
      <c r="Q154" s="22">
        <v>1</v>
      </c>
      <c r="R154" s="425">
        <f t="shared" si="5"/>
        <v>558000</v>
      </c>
      <c r="S154" s="22" t="s">
        <v>350</v>
      </c>
      <c r="T154" s="22" t="s">
        <v>317</v>
      </c>
      <c r="U154" s="22" t="s">
        <v>318</v>
      </c>
      <c r="V154" s="22"/>
      <c r="W154" s="428"/>
    </row>
    <row r="155" spans="1:27" s="301" customFormat="1" ht="14.45" customHeight="1">
      <c r="A155" s="304" t="s">
        <v>319</v>
      </c>
      <c r="B155" s="22" t="str">
        <f>VLOOKUP(A155,[1]Sheet1!$A:$B,2,0)</f>
        <v>MODI</v>
      </c>
      <c r="C155" s="32" t="s">
        <v>351</v>
      </c>
      <c r="D155" s="44">
        <v>130040670025558</v>
      </c>
      <c r="E155" s="22" t="s">
        <v>74</v>
      </c>
      <c r="F155" s="22">
        <v>2023</v>
      </c>
      <c r="G155" s="22">
        <v>12</v>
      </c>
      <c r="H155" s="22" t="s">
        <v>315</v>
      </c>
      <c r="I155" s="258">
        <v>45608</v>
      </c>
      <c r="J155" s="262">
        <v>2</v>
      </c>
      <c r="K155" s="275"/>
      <c r="L155" s="259">
        <f t="shared" si="6"/>
        <v>0</v>
      </c>
      <c r="M155" s="259">
        <v>50000</v>
      </c>
      <c r="N155" s="22" t="s">
        <v>296</v>
      </c>
      <c r="O155" s="267">
        <v>45273</v>
      </c>
      <c r="P155" s="261">
        <v>151327.43362831901</v>
      </c>
      <c r="Q155" s="22">
        <v>1</v>
      </c>
      <c r="R155" s="425">
        <f t="shared" si="5"/>
        <v>151327.43362831901</v>
      </c>
      <c r="S155" s="22" t="s">
        <v>316</v>
      </c>
      <c r="T155" s="22" t="s">
        <v>317</v>
      </c>
      <c r="U155" s="22" t="s">
        <v>318</v>
      </c>
      <c r="V155" s="22"/>
      <c r="W155" s="428"/>
    </row>
    <row r="156" spans="1:27" s="301" customFormat="1" ht="14.45" customHeight="1">
      <c r="A156" s="304" t="s">
        <v>319</v>
      </c>
      <c r="B156" s="22" t="str">
        <f>VLOOKUP(A156,[1]Sheet1!$A:$B,2,0)</f>
        <v>MODI</v>
      </c>
      <c r="C156" s="32" t="s">
        <v>352</v>
      </c>
      <c r="D156" s="44">
        <v>130040670025546</v>
      </c>
      <c r="E156" s="22" t="s">
        <v>74</v>
      </c>
      <c r="F156" s="22">
        <v>2023</v>
      </c>
      <c r="G156" s="22">
        <v>12</v>
      </c>
      <c r="H156" s="22" t="s">
        <v>315</v>
      </c>
      <c r="I156" s="258">
        <v>45608</v>
      </c>
      <c r="J156" s="262">
        <v>2</v>
      </c>
      <c r="K156" s="275"/>
      <c r="L156" s="259">
        <f t="shared" si="6"/>
        <v>0</v>
      </c>
      <c r="M156" s="259">
        <v>50000</v>
      </c>
      <c r="N156" s="22" t="s">
        <v>296</v>
      </c>
      <c r="O156" s="267">
        <v>45273</v>
      </c>
      <c r="P156" s="261">
        <v>86725.663716814204</v>
      </c>
      <c r="Q156" s="22">
        <v>1</v>
      </c>
      <c r="R156" s="425">
        <f t="shared" si="5"/>
        <v>86725.663716814204</v>
      </c>
      <c r="S156" s="22" t="s">
        <v>316</v>
      </c>
      <c r="T156" s="22" t="s">
        <v>317</v>
      </c>
      <c r="U156" s="22" t="s">
        <v>318</v>
      </c>
      <c r="V156" s="22"/>
      <c r="W156" s="428"/>
    </row>
    <row r="157" spans="1:27" s="301" customFormat="1" ht="14.45" customHeight="1">
      <c r="A157" s="22" t="s">
        <v>130</v>
      </c>
      <c r="B157" s="22" t="str">
        <f>VLOOKUP(A157,[1]Sheet1!$A:$B,2,0)</f>
        <v>MODI</v>
      </c>
      <c r="C157" s="32" t="s">
        <v>111</v>
      </c>
      <c r="D157" s="44">
        <v>130040670023442</v>
      </c>
      <c r="E157" s="22" t="s">
        <v>74</v>
      </c>
      <c r="F157" s="22">
        <v>2024</v>
      </c>
      <c r="G157" s="22">
        <v>2</v>
      </c>
      <c r="H157" s="22" t="s">
        <v>322</v>
      </c>
      <c r="I157" s="258">
        <v>45608</v>
      </c>
      <c r="J157" s="262">
        <v>2</v>
      </c>
      <c r="K157" s="275"/>
      <c r="L157" s="259">
        <f t="shared" si="6"/>
        <v>0</v>
      </c>
      <c r="M157" s="259">
        <v>50000</v>
      </c>
      <c r="N157" s="22" t="s">
        <v>297</v>
      </c>
      <c r="O157" s="267">
        <v>45341</v>
      </c>
      <c r="P157" s="261">
        <v>12655</v>
      </c>
      <c r="Q157" s="22">
        <v>1</v>
      </c>
      <c r="R157" s="425">
        <f t="shared" si="5"/>
        <v>12655</v>
      </c>
      <c r="S157" s="22" t="s">
        <v>316</v>
      </c>
      <c r="T157" s="22" t="s">
        <v>317</v>
      </c>
      <c r="U157" s="22" t="s">
        <v>318</v>
      </c>
      <c r="V157" s="22"/>
      <c r="W157" s="428"/>
      <c r="AA157" s="427"/>
    </row>
    <row r="158" spans="1:27" s="301" customFormat="1" ht="14.45" customHeight="1">
      <c r="A158" s="22" t="s">
        <v>18</v>
      </c>
      <c r="B158" s="22" t="str">
        <f>VLOOKUP(A158,[1]Sheet1!$A:$B,2,0)</f>
        <v>RCS POD</v>
      </c>
      <c r="C158" s="22" t="s">
        <v>100</v>
      </c>
      <c r="D158" s="44">
        <v>130040670029868</v>
      </c>
      <c r="E158" s="22" t="s">
        <v>74</v>
      </c>
      <c r="F158" s="22">
        <v>2024</v>
      </c>
      <c r="G158" s="22">
        <v>2</v>
      </c>
      <c r="H158" s="22" t="s">
        <v>322</v>
      </c>
      <c r="I158" s="258">
        <v>45608</v>
      </c>
      <c r="J158" s="299">
        <v>2</v>
      </c>
      <c r="K158" s="305">
        <v>1797120</v>
      </c>
      <c r="L158" s="259">
        <f t="shared" si="6"/>
        <v>1797120</v>
      </c>
      <c r="M158" s="259">
        <v>50000</v>
      </c>
      <c r="N158" s="22" t="s">
        <v>297</v>
      </c>
      <c r="O158" s="267">
        <v>45375</v>
      </c>
      <c r="P158" s="261">
        <v>7522</v>
      </c>
      <c r="Q158" s="22">
        <v>1</v>
      </c>
      <c r="R158" s="425">
        <f t="shared" si="5"/>
        <v>7522</v>
      </c>
      <c r="S158" s="22" t="s">
        <v>316</v>
      </c>
      <c r="T158" s="22" t="s">
        <v>317</v>
      </c>
      <c r="U158" s="22" t="s">
        <v>318</v>
      </c>
      <c r="V158" s="22"/>
      <c r="W158" s="428"/>
    </row>
    <row r="159" spans="1:27" s="301" customFormat="1" ht="14.45" customHeight="1">
      <c r="A159" s="272" t="s">
        <v>334</v>
      </c>
      <c r="B159" s="22" t="str">
        <f>VLOOKUP(A159,[1]Sheet1!$A:$B,2,0)</f>
        <v>RCS DEVICE</v>
      </c>
      <c r="C159" s="32" t="s">
        <v>353</v>
      </c>
      <c r="D159" s="44" t="s">
        <v>75</v>
      </c>
      <c r="E159" s="22" t="s">
        <v>74</v>
      </c>
      <c r="F159" s="22">
        <v>2023</v>
      </c>
      <c r="G159" s="22">
        <v>12</v>
      </c>
      <c r="H159" s="22" t="s">
        <v>315</v>
      </c>
      <c r="I159" s="258">
        <v>45608</v>
      </c>
      <c r="J159" s="299">
        <v>2</v>
      </c>
      <c r="K159" s="275"/>
      <c r="L159" s="259">
        <f t="shared" si="6"/>
        <v>0</v>
      </c>
      <c r="M159" s="259">
        <v>50000</v>
      </c>
      <c r="N159" s="22" t="s">
        <v>296</v>
      </c>
      <c r="O159" s="267">
        <v>45270</v>
      </c>
      <c r="P159" s="504">
        <v>54867.256637168146</v>
      </c>
      <c r="Q159" s="248">
        <v>1</v>
      </c>
      <c r="R159" s="506">
        <f t="shared" si="5"/>
        <v>54867.256637168146</v>
      </c>
      <c r="S159" s="22" t="s">
        <v>316</v>
      </c>
      <c r="T159" s="22" t="s">
        <v>317</v>
      </c>
      <c r="U159" s="22" t="s">
        <v>318</v>
      </c>
      <c r="V159" s="22"/>
      <c r="W159" s="428"/>
    </row>
    <row r="160" spans="1:27" s="301" customFormat="1" ht="14.45" customHeight="1">
      <c r="A160" s="272" t="s">
        <v>334</v>
      </c>
      <c r="B160" s="22" t="str">
        <f>VLOOKUP(A160,[1]Sheet1!$A:$B,2,0)</f>
        <v>RCS DEVICE</v>
      </c>
      <c r="C160" s="32" t="s">
        <v>354</v>
      </c>
      <c r="D160" s="44" t="s">
        <v>75</v>
      </c>
      <c r="E160" s="22" t="s">
        <v>74</v>
      </c>
      <c r="F160" s="22">
        <v>2023</v>
      </c>
      <c r="G160" s="22">
        <v>12</v>
      </c>
      <c r="H160" s="22" t="s">
        <v>315</v>
      </c>
      <c r="I160" s="258">
        <v>45608</v>
      </c>
      <c r="J160" s="299">
        <v>2</v>
      </c>
      <c r="K160" s="275"/>
      <c r="L160" s="259">
        <f t="shared" si="6"/>
        <v>0</v>
      </c>
      <c r="M160" s="259">
        <v>50000</v>
      </c>
      <c r="N160" s="22" t="s">
        <v>296</v>
      </c>
      <c r="O160" s="267">
        <v>45270</v>
      </c>
      <c r="P160" s="505"/>
      <c r="Q160" s="248">
        <v>1</v>
      </c>
      <c r="R160" s="507"/>
      <c r="S160" s="22" t="s">
        <v>316</v>
      </c>
      <c r="T160" s="22" t="s">
        <v>317</v>
      </c>
      <c r="U160" s="22" t="s">
        <v>318</v>
      </c>
      <c r="V160" s="22"/>
      <c r="W160" s="428"/>
    </row>
    <row r="161" spans="1:23" s="301" customFormat="1" ht="14.45" customHeight="1">
      <c r="A161" s="272" t="s">
        <v>334</v>
      </c>
      <c r="B161" s="22" t="str">
        <f>VLOOKUP(A161,[1]Sheet1!$A:$B,2,0)</f>
        <v>RCS DEVICE</v>
      </c>
      <c r="C161" s="32" t="s">
        <v>355</v>
      </c>
      <c r="D161" s="44" t="s">
        <v>75</v>
      </c>
      <c r="E161" s="22" t="s">
        <v>74</v>
      </c>
      <c r="F161" s="22">
        <v>2023</v>
      </c>
      <c r="G161" s="22">
        <v>12</v>
      </c>
      <c r="H161" s="22" t="s">
        <v>315</v>
      </c>
      <c r="I161" s="258">
        <v>45608</v>
      </c>
      <c r="J161" s="299">
        <v>2</v>
      </c>
      <c r="K161" s="275"/>
      <c r="L161" s="259">
        <f t="shared" si="6"/>
        <v>0</v>
      </c>
      <c r="M161" s="259">
        <v>50000</v>
      </c>
      <c r="N161" s="22" t="s">
        <v>296</v>
      </c>
      <c r="O161" s="267">
        <v>45270</v>
      </c>
      <c r="P161" s="261">
        <v>129203.53982300886</v>
      </c>
      <c r="Q161" s="22">
        <v>1</v>
      </c>
      <c r="R161" s="425">
        <f t="shared" si="5"/>
        <v>129203.53982300886</v>
      </c>
      <c r="S161" s="22" t="s">
        <v>316</v>
      </c>
      <c r="T161" s="22" t="s">
        <v>317</v>
      </c>
      <c r="U161" s="22" t="s">
        <v>318</v>
      </c>
      <c r="V161" s="22"/>
      <c r="W161" s="428"/>
    </row>
    <row r="162" spans="1:23" s="301" customFormat="1" ht="14.45" customHeight="1">
      <c r="A162" s="272" t="s">
        <v>334</v>
      </c>
      <c r="B162" s="22" t="str">
        <f>VLOOKUP(A162,[1]Sheet1!$A:$B,2,0)</f>
        <v>RCS DEVICE</v>
      </c>
      <c r="C162" s="32" t="s">
        <v>356</v>
      </c>
      <c r="D162" s="44" t="s">
        <v>75</v>
      </c>
      <c r="E162" s="22" t="s">
        <v>74</v>
      </c>
      <c r="F162" s="22">
        <v>2023</v>
      </c>
      <c r="G162" s="22">
        <v>12</v>
      </c>
      <c r="H162" s="22" t="s">
        <v>315</v>
      </c>
      <c r="I162" s="258">
        <v>45608</v>
      </c>
      <c r="J162" s="299">
        <v>2</v>
      </c>
      <c r="K162" s="275"/>
      <c r="L162" s="259">
        <f t="shared" si="6"/>
        <v>0</v>
      </c>
      <c r="M162" s="259">
        <v>50000</v>
      </c>
      <c r="N162" s="22" t="s">
        <v>296</v>
      </c>
      <c r="O162" s="267">
        <v>45270</v>
      </c>
      <c r="P162" s="261">
        <v>139823.00884955755</v>
      </c>
      <c r="Q162" s="22">
        <v>1</v>
      </c>
      <c r="R162" s="425">
        <f t="shared" si="5"/>
        <v>139823.00884955755</v>
      </c>
      <c r="S162" s="22" t="s">
        <v>316</v>
      </c>
      <c r="T162" s="22" t="s">
        <v>317</v>
      </c>
      <c r="U162" s="22" t="s">
        <v>318</v>
      </c>
      <c r="V162" s="22"/>
      <c r="W162" s="428"/>
    </row>
    <row r="163" spans="1:23" s="301" customFormat="1" ht="14.45" customHeight="1">
      <c r="A163" s="272" t="s">
        <v>334</v>
      </c>
      <c r="B163" s="22" t="str">
        <f>VLOOKUP(A163,[1]Sheet1!$A:$B,2,0)</f>
        <v>RCS DEVICE</v>
      </c>
      <c r="C163" s="32" t="s">
        <v>111</v>
      </c>
      <c r="D163" s="44" t="s">
        <v>75</v>
      </c>
      <c r="E163" s="22" t="s">
        <v>74</v>
      </c>
      <c r="F163" s="22">
        <v>2023</v>
      </c>
      <c r="G163" s="22">
        <v>12</v>
      </c>
      <c r="H163" s="22" t="s">
        <v>315</v>
      </c>
      <c r="I163" s="258">
        <v>45608</v>
      </c>
      <c r="J163" s="299">
        <v>2</v>
      </c>
      <c r="K163" s="275"/>
      <c r="L163" s="259">
        <f t="shared" si="6"/>
        <v>0</v>
      </c>
      <c r="M163" s="259">
        <v>50000</v>
      </c>
      <c r="N163" s="22" t="s">
        <v>296</v>
      </c>
      <c r="O163" s="267">
        <v>45270</v>
      </c>
      <c r="P163" s="261">
        <v>122123.89380530975</v>
      </c>
      <c r="Q163" s="22">
        <v>1</v>
      </c>
      <c r="R163" s="425">
        <f t="shared" si="5"/>
        <v>122123.89380530975</v>
      </c>
      <c r="S163" s="22" t="s">
        <v>316</v>
      </c>
      <c r="T163" s="22" t="s">
        <v>317</v>
      </c>
      <c r="U163" s="22" t="s">
        <v>318</v>
      </c>
      <c r="V163" s="22"/>
      <c r="W163" s="428"/>
    </row>
    <row r="164" spans="1:23" s="301" customFormat="1" ht="14.45" customHeight="1">
      <c r="A164" s="272" t="s">
        <v>334</v>
      </c>
      <c r="B164" s="22" t="str">
        <f>VLOOKUP(A164,[1]Sheet1!$A:$B,2,0)</f>
        <v>RCS DEVICE</v>
      </c>
      <c r="C164" s="32" t="s">
        <v>357</v>
      </c>
      <c r="D164" s="44" t="s">
        <v>75</v>
      </c>
      <c r="E164" s="22" t="s">
        <v>74</v>
      </c>
      <c r="F164" s="22">
        <v>2023</v>
      </c>
      <c r="G164" s="22">
        <v>12</v>
      </c>
      <c r="H164" s="22" t="s">
        <v>315</v>
      </c>
      <c r="I164" s="258">
        <v>45608</v>
      </c>
      <c r="J164" s="299">
        <v>2</v>
      </c>
      <c r="K164" s="275"/>
      <c r="L164" s="259">
        <f t="shared" si="6"/>
        <v>0</v>
      </c>
      <c r="M164" s="259">
        <v>50000</v>
      </c>
      <c r="N164" s="22" t="s">
        <v>296</v>
      </c>
      <c r="O164" s="267">
        <v>45270</v>
      </c>
      <c r="P164" s="261">
        <v>113274.33628318585</v>
      </c>
      <c r="Q164" s="22">
        <v>1</v>
      </c>
      <c r="R164" s="425">
        <f t="shared" si="5"/>
        <v>113274.33628318585</v>
      </c>
      <c r="S164" s="22" t="s">
        <v>316</v>
      </c>
      <c r="T164" s="22" t="s">
        <v>317</v>
      </c>
      <c r="U164" s="22" t="s">
        <v>318</v>
      </c>
      <c r="V164" s="22"/>
      <c r="W164" s="428"/>
    </row>
    <row r="165" spans="1:23" s="301" customFormat="1" ht="14.45" customHeight="1">
      <c r="A165" s="22" t="s">
        <v>106</v>
      </c>
      <c r="B165" s="22" t="str">
        <f>VLOOKUP(A165,[1]Sheet1!$A:$B,2,0)</f>
        <v>MODI</v>
      </c>
      <c r="C165" s="32" t="s">
        <v>108</v>
      </c>
      <c r="D165" s="44">
        <v>130040670018930</v>
      </c>
      <c r="E165" s="22" t="s">
        <v>74</v>
      </c>
      <c r="F165" s="22">
        <v>2023</v>
      </c>
      <c r="G165" s="22">
        <v>11</v>
      </c>
      <c r="H165" s="22" t="s">
        <v>315</v>
      </c>
      <c r="I165" s="258">
        <v>45608</v>
      </c>
      <c r="J165" s="262">
        <v>48</v>
      </c>
      <c r="K165" s="275">
        <v>2490280</v>
      </c>
      <c r="L165" s="259">
        <f t="shared" si="6"/>
        <v>2490280</v>
      </c>
      <c r="M165" s="259">
        <v>1000000</v>
      </c>
      <c r="N165" s="22" t="s">
        <v>299</v>
      </c>
      <c r="O165" s="267">
        <v>45251</v>
      </c>
      <c r="P165" s="261">
        <v>153539</v>
      </c>
      <c r="Q165" s="22">
        <v>1</v>
      </c>
      <c r="R165" s="425">
        <f t="shared" si="5"/>
        <v>153539</v>
      </c>
      <c r="S165" s="22" t="s">
        <v>316</v>
      </c>
      <c r="T165" s="22" t="s">
        <v>317</v>
      </c>
      <c r="U165" s="22" t="s">
        <v>318</v>
      </c>
      <c r="V165" s="22"/>
      <c r="W165" s="428"/>
    </row>
    <row r="166" spans="1:23" s="301" customFormat="1" ht="14.45" customHeight="1">
      <c r="A166" s="22" t="s">
        <v>106</v>
      </c>
      <c r="B166" s="22" t="str">
        <f>VLOOKUP(A166,[1]Sheet1!$A:$B,2,0)</f>
        <v>MODI</v>
      </c>
      <c r="C166" s="32" t="s">
        <v>100</v>
      </c>
      <c r="D166" s="44">
        <v>130040670018928</v>
      </c>
      <c r="E166" s="22" t="s">
        <v>74</v>
      </c>
      <c r="F166" s="22">
        <v>2023</v>
      </c>
      <c r="G166" s="22">
        <v>11</v>
      </c>
      <c r="H166" s="22" t="s">
        <v>315</v>
      </c>
      <c r="I166" s="258">
        <v>45608</v>
      </c>
      <c r="J166" s="262">
        <v>24</v>
      </c>
      <c r="K166" s="259">
        <v>1067040</v>
      </c>
      <c r="L166" s="259">
        <f t="shared" si="6"/>
        <v>1067040</v>
      </c>
      <c r="M166" s="259">
        <v>1000000</v>
      </c>
      <c r="N166" s="22" t="s">
        <v>299</v>
      </c>
      <c r="O166" s="267">
        <v>45254</v>
      </c>
      <c r="P166" s="261">
        <f>23000/1.13</f>
        <v>20353.982300884956</v>
      </c>
      <c r="Q166" s="22">
        <v>1</v>
      </c>
      <c r="R166" s="425">
        <f t="shared" ref="R166:R185" si="7">P166*Q166</f>
        <v>20353.982300884956</v>
      </c>
      <c r="S166" s="22" t="s">
        <v>316</v>
      </c>
      <c r="T166" s="22" t="s">
        <v>317</v>
      </c>
      <c r="U166" s="22" t="s">
        <v>318</v>
      </c>
      <c r="V166" s="22"/>
      <c r="W166" s="428"/>
    </row>
    <row r="167" spans="1:23" s="301" customFormat="1" ht="14.45" customHeight="1">
      <c r="A167" s="22" t="s">
        <v>106</v>
      </c>
      <c r="B167" s="22" t="str">
        <f>VLOOKUP(A167,[1]Sheet1!$A:$B,2,0)</f>
        <v>MODI</v>
      </c>
      <c r="C167" s="32" t="s">
        <v>109</v>
      </c>
      <c r="D167" s="44">
        <v>130040670027765</v>
      </c>
      <c r="E167" s="22" t="s">
        <v>74</v>
      </c>
      <c r="F167" s="22">
        <v>2023</v>
      </c>
      <c r="G167" s="22">
        <v>11</v>
      </c>
      <c r="H167" s="22" t="s">
        <v>315</v>
      </c>
      <c r="I167" s="258">
        <v>45608</v>
      </c>
      <c r="J167" s="262">
        <v>48</v>
      </c>
      <c r="K167" s="275"/>
      <c r="L167" s="259">
        <f t="shared" si="6"/>
        <v>0</v>
      </c>
      <c r="M167" s="259">
        <v>1000000</v>
      </c>
      <c r="N167" s="22" t="s">
        <v>299</v>
      </c>
      <c r="O167" s="267">
        <v>45259</v>
      </c>
      <c r="P167" s="261">
        <f>107273/1.13</f>
        <v>94931.85840707965</v>
      </c>
      <c r="Q167" s="22">
        <v>1</v>
      </c>
      <c r="R167" s="425">
        <f t="shared" si="7"/>
        <v>94931.85840707965</v>
      </c>
      <c r="S167" s="22" t="s">
        <v>316</v>
      </c>
      <c r="T167" s="22" t="s">
        <v>317</v>
      </c>
      <c r="U167" s="22" t="s">
        <v>318</v>
      </c>
      <c r="V167" s="22"/>
      <c r="W167" s="428"/>
    </row>
    <row r="168" spans="1:23" s="301" customFormat="1" ht="14.45" customHeight="1">
      <c r="A168" s="22" t="s">
        <v>106</v>
      </c>
      <c r="B168" s="22" t="str">
        <f>VLOOKUP(A168,[1]Sheet1!$A:$B,2,0)</f>
        <v>MODI</v>
      </c>
      <c r="C168" s="32" t="s">
        <v>108</v>
      </c>
      <c r="D168" s="44">
        <v>130040670018930</v>
      </c>
      <c r="E168" s="22" t="s">
        <v>74</v>
      </c>
      <c r="F168" s="22">
        <v>2023</v>
      </c>
      <c r="G168" s="22">
        <v>11</v>
      </c>
      <c r="H168" s="22" t="s">
        <v>315</v>
      </c>
      <c r="I168" s="258">
        <v>45608</v>
      </c>
      <c r="J168" s="262">
        <v>2</v>
      </c>
      <c r="K168" s="275"/>
      <c r="L168" s="259">
        <f t="shared" si="6"/>
        <v>0</v>
      </c>
      <c r="M168" s="259">
        <v>50000</v>
      </c>
      <c r="N168" s="22" t="s">
        <v>297</v>
      </c>
      <c r="O168" s="267">
        <v>45246</v>
      </c>
      <c r="P168" s="261">
        <f>68000/1.13</f>
        <v>60176.991150442482</v>
      </c>
      <c r="Q168" s="22">
        <v>1</v>
      </c>
      <c r="R168" s="425">
        <f t="shared" si="7"/>
        <v>60176.991150442482</v>
      </c>
      <c r="S168" s="22" t="s">
        <v>316</v>
      </c>
      <c r="T168" s="22" t="s">
        <v>317</v>
      </c>
      <c r="U168" s="22" t="s">
        <v>318</v>
      </c>
      <c r="V168" s="22"/>
      <c r="W168" s="428"/>
    </row>
    <row r="169" spans="1:23" s="301" customFormat="1" ht="14.45" customHeight="1">
      <c r="A169" s="22" t="s">
        <v>106</v>
      </c>
      <c r="B169" s="22" t="str">
        <f>VLOOKUP(A169,[1]Sheet1!$A:$B,2,0)</f>
        <v>MODI</v>
      </c>
      <c r="C169" s="32" t="s">
        <v>108</v>
      </c>
      <c r="D169" s="44">
        <v>130040670018930</v>
      </c>
      <c r="E169" s="22" t="s">
        <v>74</v>
      </c>
      <c r="F169" s="22">
        <v>2023</v>
      </c>
      <c r="G169" s="22">
        <v>11</v>
      </c>
      <c r="H169" s="22" t="s">
        <v>315</v>
      </c>
      <c r="I169" s="258">
        <v>45608</v>
      </c>
      <c r="J169" s="262">
        <v>2</v>
      </c>
      <c r="K169" s="275"/>
      <c r="L169" s="259">
        <f t="shared" si="6"/>
        <v>0</v>
      </c>
      <c r="M169" s="259">
        <v>50000</v>
      </c>
      <c r="N169" s="22" t="s">
        <v>297</v>
      </c>
      <c r="O169" s="267">
        <v>45252</v>
      </c>
      <c r="P169" s="261">
        <f>5500/1.13</f>
        <v>4867.2566371681423</v>
      </c>
      <c r="Q169" s="22">
        <v>1</v>
      </c>
      <c r="R169" s="425">
        <f t="shared" si="7"/>
        <v>4867.2566371681423</v>
      </c>
      <c r="S169" s="22" t="s">
        <v>316</v>
      </c>
      <c r="T169" s="22" t="s">
        <v>317</v>
      </c>
      <c r="U169" s="22" t="s">
        <v>318</v>
      </c>
      <c r="V169" s="22"/>
      <c r="W169" s="428"/>
    </row>
    <row r="170" spans="1:23" s="301" customFormat="1" ht="14.45" customHeight="1">
      <c r="A170" s="22" t="s">
        <v>106</v>
      </c>
      <c r="B170" s="22" t="str">
        <f>VLOOKUP(A170,[1]Sheet1!$A:$B,2,0)</f>
        <v>MODI</v>
      </c>
      <c r="C170" s="32" t="s">
        <v>100</v>
      </c>
      <c r="D170" s="44">
        <v>130040670018928</v>
      </c>
      <c r="E170" s="22" t="s">
        <v>74</v>
      </c>
      <c r="F170" s="22">
        <v>2023</v>
      </c>
      <c r="G170" s="22">
        <v>11</v>
      </c>
      <c r="H170" s="22" t="s">
        <v>315</v>
      </c>
      <c r="I170" s="258">
        <v>45608</v>
      </c>
      <c r="J170" s="262">
        <v>2</v>
      </c>
      <c r="K170" s="275"/>
      <c r="L170" s="259">
        <f t="shared" si="6"/>
        <v>0</v>
      </c>
      <c r="M170" s="259">
        <v>50000</v>
      </c>
      <c r="N170" s="22" t="s">
        <v>297</v>
      </c>
      <c r="O170" s="267">
        <v>45252</v>
      </c>
      <c r="P170" s="261">
        <f>5876/1.13</f>
        <v>5200.0000000000009</v>
      </c>
      <c r="Q170" s="22">
        <v>1</v>
      </c>
      <c r="R170" s="425">
        <f t="shared" si="7"/>
        <v>5200.0000000000009</v>
      </c>
      <c r="S170" s="22" t="s">
        <v>316</v>
      </c>
      <c r="T170" s="22" t="s">
        <v>317</v>
      </c>
      <c r="U170" s="22" t="s">
        <v>318</v>
      </c>
      <c r="V170" s="22"/>
      <c r="W170" s="428"/>
    </row>
    <row r="171" spans="1:23" s="301" customFormat="1" ht="14.45" customHeight="1">
      <c r="A171" s="22" t="s">
        <v>106</v>
      </c>
      <c r="B171" s="22" t="str">
        <f>VLOOKUP(A171,[1]Sheet1!$A:$B,2,0)</f>
        <v>MODI</v>
      </c>
      <c r="C171" s="32" t="s">
        <v>109</v>
      </c>
      <c r="D171" s="44">
        <v>130040670027765</v>
      </c>
      <c r="E171" s="22" t="s">
        <v>74</v>
      </c>
      <c r="F171" s="22">
        <v>2023</v>
      </c>
      <c r="G171" s="22">
        <v>11</v>
      </c>
      <c r="H171" s="22" t="s">
        <v>315</v>
      </c>
      <c r="I171" s="258">
        <v>45608</v>
      </c>
      <c r="J171" s="262">
        <v>2</v>
      </c>
      <c r="K171" s="275"/>
      <c r="L171" s="259">
        <f t="shared" si="6"/>
        <v>0</v>
      </c>
      <c r="M171" s="259">
        <v>50000</v>
      </c>
      <c r="N171" s="22" t="s">
        <v>297</v>
      </c>
      <c r="O171" s="267">
        <v>45254</v>
      </c>
      <c r="P171" s="261">
        <f>12000/1.13</f>
        <v>10619.469026548673</v>
      </c>
      <c r="Q171" s="22">
        <v>1</v>
      </c>
      <c r="R171" s="425">
        <f t="shared" si="7"/>
        <v>10619.469026548673</v>
      </c>
      <c r="S171" s="22" t="s">
        <v>316</v>
      </c>
      <c r="T171" s="22" t="s">
        <v>317</v>
      </c>
      <c r="U171" s="22" t="s">
        <v>318</v>
      </c>
      <c r="V171" s="22"/>
      <c r="W171" s="428"/>
    </row>
    <row r="172" spans="1:23" s="301" customFormat="1" ht="14.45" customHeight="1">
      <c r="A172" s="22" t="s">
        <v>130</v>
      </c>
      <c r="B172" s="22" t="str">
        <f>VLOOKUP(A172,[1]Sheet1!$A:$B,2,0)</f>
        <v>MODI</v>
      </c>
      <c r="C172" s="32" t="s">
        <v>108</v>
      </c>
      <c r="D172" s="44">
        <v>130040670023448</v>
      </c>
      <c r="E172" s="22" t="s">
        <v>74</v>
      </c>
      <c r="F172" s="22">
        <v>2023</v>
      </c>
      <c r="G172" s="22">
        <v>11</v>
      </c>
      <c r="H172" s="22" t="s">
        <v>315</v>
      </c>
      <c r="I172" s="258">
        <v>45608</v>
      </c>
      <c r="J172" s="262">
        <v>2</v>
      </c>
      <c r="K172" s="275"/>
      <c r="L172" s="259">
        <f t="shared" si="6"/>
        <v>0</v>
      </c>
      <c r="M172" s="259">
        <v>50000</v>
      </c>
      <c r="N172" s="22" t="s">
        <v>297</v>
      </c>
      <c r="O172" s="267">
        <v>45252</v>
      </c>
      <c r="P172" s="261">
        <f>14238/1.13</f>
        <v>12600.000000000002</v>
      </c>
      <c r="Q172" s="22">
        <v>1</v>
      </c>
      <c r="R172" s="425">
        <f t="shared" si="7"/>
        <v>12600.000000000002</v>
      </c>
      <c r="S172" s="22" t="s">
        <v>316</v>
      </c>
      <c r="T172" s="22" t="s">
        <v>317</v>
      </c>
      <c r="U172" s="22" t="s">
        <v>318</v>
      </c>
      <c r="V172" s="22"/>
      <c r="W172" s="428"/>
    </row>
    <row r="173" spans="1:23" s="301" customFormat="1" ht="14.45" customHeight="1">
      <c r="A173" s="22" t="s">
        <v>130</v>
      </c>
      <c r="B173" s="22" t="str">
        <f>VLOOKUP(A173,[1]Sheet1!$A:$B,2,0)</f>
        <v>MODI</v>
      </c>
      <c r="C173" s="32" t="s">
        <v>104</v>
      </c>
      <c r="D173" s="44">
        <v>130040670023445</v>
      </c>
      <c r="E173" s="22" t="s">
        <v>74</v>
      </c>
      <c r="F173" s="22">
        <v>2023</v>
      </c>
      <c r="G173" s="22">
        <v>11</v>
      </c>
      <c r="H173" s="22" t="s">
        <v>315</v>
      </c>
      <c r="I173" s="258">
        <v>45608</v>
      </c>
      <c r="J173" s="262">
        <v>2</v>
      </c>
      <c r="K173" s="275"/>
      <c r="L173" s="259">
        <f t="shared" si="6"/>
        <v>0</v>
      </c>
      <c r="M173" s="259">
        <v>50000</v>
      </c>
      <c r="N173" s="22" t="s">
        <v>297</v>
      </c>
      <c r="O173" s="267">
        <v>45252</v>
      </c>
      <c r="P173" s="261">
        <f>12746/1.13</f>
        <v>11279.646017699117</v>
      </c>
      <c r="Q173" s="22">
        <v>1</v>
      </c>
      <c r="R173" s="425">
        <f t="shared" si="7"/>
        <v>11279.646017699117</v>
      </c>
      <c r="S173" s="22" t="s">
        <v>316</v>
      </c>
      <c r="T173" s="22" t="s">
        <v>317</v>
      </c>
      <c r="U173" s="22" t="s">
        <v>318</v>
      </c>
      <c r="V173" s="22"/>
      <c r="W173" s="428"/>
    </row>
    <row r="174" spans="1:23" s="301" customFormat="1" ht="14.45" customHeight="1">
      <c r="A174" s="22" t="s">
        <v>106</v>
      </c>
      <c r="B174" s="22" t="str">
        <f>VLOOKUP(A174,[1]Sheet1!$A:$B,2,0)</f>
        <v>MODI</v>
      </c>
      <c r="C174" s="32" t="s">
        <v>108</v>
      </c>
      <c r="D174" s="44">
        <v>130040670018930</v>
      </c>
      <c r="E174" s="22" t="s">
        <v>74</v>
      </c>
      <c r="F174" s="22">
        <v>2023</v>
      </c>
      <c r="G174" s="22">
        <v>12</v>
      </c>
      <c r="H174" s="22" t="s">
        <v>315</v>
      </c>
      <c r="I174" s="258">
        <v>45608</v>
      </c>
      <c r="J174" s="262">
        <v>2</v>
      </c>
      <c r="K174" s="275"/>
      <c r="L174" s="259">
        <f t="shared" si="6"/>
        <v>0</v>
      </c>
      <c r="M174" s="259">
        <v>50000</v>
      </c>
      <c r="N174" s="22" t="s">
        <v>297</v>
      </c>
      <c r="O174" s="267">
        <v>45267</v>
      </c>
      <c r="P174" s="261">
        <f>6680/1.13</f>
        <v>5911.5044247787619</v>
      </c>
      <c r="Q174" s="22">
        <v>1</v>
      </c>
      <c r="R174" s="425">
        <f t="shared" si="7"/>
        <v>5911.5044247787619</v>
      </c>
      <c r="S174" s="22" t="s">
        <v>316</v>
      </c>
      <c r="T174" s="22" t="s">
        <v>317</v>
      </c>
      <c r="U174" s="22" t="s">
        <v>318</v>
      </c>
      <c r="V174" s="22"/>
      <c r="W174" s="428"/>
    </row>
    <row r="175" spans="1:23" s="301" customFormat="1" ht="14.45" customHeight="1">
      <c r="A175" s="22" t="s">
        <v>106</v>
      </c>
      <c r="B175" s="22" t="str">
        <f>VLOOKUP(A175,[1]Sheet1!$A:$B,2,0)</f>
        <v>MODI</v>
      </c>
      <c r="C175" s="32" t="s">
        <v>108</v>
      </c>
      <c r="D175" s="44">
        <v>130040670018930</v>
      </c>
      <c r="E175" s="22" t="s">
        <v>74</v>
      </c>
      <c r="F175" s="22">
        <v>2023</v>
      </c>
      <c r="G175" s="22">
        <v>12</v>
      </c>
      <c r="H175" s="22" t="s">
        <v>315</v>
      </c>
      <c r="I175" s="258">
        <v>45608</v>
      </c>
      <c r="J175" s="262">
        <v>48</v>
      </c>
      <c r="K175" s="275">
        <v>2490280</v>
      </c>
      <c r="L175" s="259">
        <f t="shared" si="6"/>
        <v>2490280</v>
      </c>
      <c r="M175" s="259">
        <v>1000000</v>
      </c>
      <c r="N175" s="22" t="s">
        <v>299</v>
      </c>
      <c r="O175" s="267">
        <v>45267</v>
      </c>
      <c r="P175" s="261">
        <f>9560/1.13</f>
        <v>8460.1769911504434</v>
      </c>
      <c r="Q175" s="22">
        <v>1</v>
      </c>
      <c r="R175" s="425">
        <f t="shared" si="7"/>
        <v>8460.1769911504434</v>
      </c>
      <c r="S175" s="22" t="s">
        <v>316</v>
      </c>
      <c r="T175" s="22" t="s">
        <v>317</v>
      </c>
      <c r="U175" s="22" t="s">
        <v>318</v>
      </c>
      <c r="V175" s="22"/>
      <c r="W175" s="428"/>
    </row>
    <row r="176" spans="1:23" s="301" customFormat="1" ht="14.45" customHeight="1">
      <c r="A176" s="22" t="s">
        <v>106</v>
      </c>
      <c r="B176" s="22" t="str">
        <f>VLOOKUP(A176,[1]Sheet1!$A:$B,2,0)</f>
        <v>MODI</v>
      </c>
      <c r="C176" s="32" t="s">
        <v>108</v>
      </c>
      <c r="D176" s="44">
        <v>130040670018930</v>
      </c>
      <c r="E176" s="22" t="s">
        <v>74</v>
      </c>
      <c r="F176" s="22">
        <v>2023</v>
      </c>
      <c r="G176" s="22">
        <v>12</v>
      </c>
      <c r="H176" s="22" t="s">
        <v>315</v>
      </c>
      <c r="I176" s="258">
        <v>45608</v>
      </c>
      <c r="J176" s="262">
        <v>2</v>
      </c>
      <c r="K176" s="275"/>
      <c r="L176" s="259">
        <f t="shared" si="6"/>
        <v>0</v>
      </c>
      <c r="M176" s="259">
        <v>50000</v>
      </c>
      <c r="N176" s="22" t="s">
        <v>297</v>
      </c>
      <c r="O176" s="267">
        <v>45271</v>
      </c>
      <c r="P176" s="261">
        <f>6300/1.13</f>
        <v>5575.2212389380538</v>
      </c>
      <c r="Q176" s="22">
        <v>1</v>
      </c>
      <c r="R176" s="425">
        <f t="shared" si="7"/>
        <v>5575.2212389380538</v>
      </c>
      <c r="S176" s="22" t="s">
        <v>316</v>
      </c>
      <c r="T176" s="22" t="s">
        <v>317</v>
      </c>
      <c r="U176" s="22" t="s">
        <v>318</v>
      </c>
      <c r="V176" s="22"/>
      <c r="W176" s="428"/>
    </row>
    <row r="177" spans="1:23" s="301" customFormat="1" ht="14.45" customHeight="1">
      <c r="A177" s="22" t="s">
        <v>113</v>
      </c>
      <c r="B177" s="22" t="str">
        <f>VLOOKUP(A177,[1]Sheet1!$A:$B,2,0)</f>
        <v>MODI</v>
      </c>
      <c r="C177" s="32" t="s">
        <v>114</v>
      </c>
      <c r="D177" s="44">
        <v>130040670023899</v>
      </c>
      <c r="E177" s="22" t="s">
        <v>74</v>
      </c>
      <c r="F177" s="22">
        <v>2023</v>
      </c>
      <c r="G177" s="22">
        <v>12</v>
      </c>
      <c r="H177" s="22" t="s">
        <v>315</v>
      </c>
      <c r="I177" s="258">
        <v>45608</v>
      </c>
      <c r="J177" s="262">
        <v>2</v>
      </c>
      <c r="K177" s="275"/>
      <c r="L177" s="259">
        <f t="shared" si="6"/>
        <v>0</v>
      </c>
      <c r="M177" s="259">
        <v>50000</v>
      </c>
      <c r="N177" s="22" t="s">
        <v>297</v>
      </c>
      <c r="O177" s="267">
        <v>45272</v>
      </c>
      <c r="P177" s="261">
        <f>1200/1.13</f>
        <v>1061.9469026548672</v>
      </c>
      <c r="Q177" s="22">
        <v>1</v>
      </c>
      <c r="R177" s="425">
        <f t="shared" si="7"/>
        <v>1061.9469026548672</v>
      </c>
      <c r="S177" s="22" t="s">
        <v>316</v>
      </c>
      <c r="T177" s="22" t="s">
        <v>317</v>
      </c>
      <c r="U177" s="22" t="s">
        <v>318</v>
      </c>
      <c r="V177" s="22"/>
      <c r="W177" s="428"/>
    </row>
    <row r="178" spans="1:23" s="301" customFormat="1" ht="14.45" customHeight="1">
      <c r="A178" s="22" t="s">
        <v>113</v>
      </c>
      <c r="B178" s="22" t="str">
        <f>VLOOKUP(A178,[1]Sheet1!$A:$B,2,0)</f>
        <v>MODI</v>
      </c>
      <c r="C178" s="32" t="s">
        <v>116</v>
      </c>
      <c r="D178" s="44">
        <v>130040670023906</v>
      </c>
      <c r="E178" s="22" t="s">
        <v>74</v>
      </c>
      <c r="F178" s="22">
        <v>2023</v>
      </c>
      <c r="G178" s="22">
        <v>12</v>
      </c>
      <c r="H178" s="22" t="s">
        <v>315</v>
      </c>
      <c r="I178" s="258">
        <v>45608</v>
      </c>
      <c r="J178" s="262">
        <v>2</v>
      </c>
      <c r="K178" s="275"/>
      <c r="L178" s="259">
        <f t="shared" si="6"/>
        <v>0</v>
      </c>
      <c r="M178" s="259">
        <v>50000</v>
      </c>
      <c r="N178" s="22" t="s">
        <v>297</v>
      </c>
      <c r="O178" s="267">
        <v>45272</v>
      </c>
      <c r="P178" s="261">
        <f>2800/1.13</f>
        <v>2477.8761061946907</v>
      </c>
      <c r="Q178" s="22">
        <v>1</v>
      </c>
      <c r="R178" s="425">
        <f t="shared" si="7"/>
        <v>2477.8761061946907</v>
      </c>
      <c r="S178" s="22" t="s">
        <v>316</v>
      </c>
      <c r="T178" s="22" t="s">
        <v>317</v>
      </c>
      <c r="U178" s="22" t="s">
        <v>318</v>
      </c>
      <c r="V178" s="22"/>
      <c r="W178" s="428"/>
    </row>
    <row r="179" spans="1:23" s="301" customFormat="1" ht="14.45" customHeight="1">
      <c r="A179" s="22" t="s">
        <v>113</v>
      </c>
      <c r="B179" s="22" t="str">
        <f>VLOOKUP(A179,[1]Sheet1!$A:$B,2,0)</f>
        <v>MODI</v>
      </c>
      <c r="C179" s="32" t="s">
        <v>111</v>
      </c>
      <c r="D179" s="44">
        <v>130040670023900</v>
      </c>
      <c r="E179" s="22" t="s">
        <v>74</v>
      </c>
      <c r="F179" s="22">
        <v>2023</v>
      </c>
      <c r="G179" s="22">
        <v>12</v>
      </c>
      <c r="H179" s="22" t="s">
        <v>315</v>
      </c>
      <c r="I179" s="258">
        <v>45608</v>
      </c>
      <c r="J179" s="262">
        <v>2</v>
      </c>
      <c r="K179" s="275"/>
      <c r="L179" s="259">
        <f t="shared" si="6"/>
        <v>0</v>
      </c>
      <c r="M179" s="259">
        <v>50000</v>
      </c>
      <c r="N179" s="22" t="s">
        <v>297</v>
      </c>
      <c r="O179" s="267">
        <v>45272</v>
      </c>
      <c r="P179" s="261">
        <f>3500/1.13</f>
        <v>3097.3451327433631</v>
      </c>
      <c r="Q179" s="22">
        <v>1</v>
      </c>
      <c r="R179" s="425">
        <f t="shared" si="7"/>
        <v>3097.3451327433631</v>
      </c>
      <c r="S179" s="22" t="s">
        <v>316</v>
      </c>
      <c r="T179" s="22" t="s">
        <v>317</v>
      </c>
      <c r="U179" s="22" t="s">
        <v>318</v>
      </c>
      <c r="V179" s="22"/>
      <c r="W179" s="428"/>
    </row>
    <row r="180" spans="1:23" s="301" customFormat="1" ht="14.45" customHeight="1">
      <c r="A180" s="22" t="s">
        <v>113</v>
      </c>
      <c r="B180" s="22" t="str">
        <f>VLOOKUP(A180,[1]Sheet1!$A:$B,2,0)</f>
        <v>MODI</v>
      </c>
      <c r="C180" s="32" t="s">
        <v>119</v>
      </c>
      <c r="D180" s="44">
        <v>130040670039455</v>
      </c>
      <c r="E180" s="22" t="s">
        <v>74</v>
      </c>
      <c r="F180" s="22">
        <v>2023</v>
      </c>
      <c r="G180" s="22">
        <v>12</v>
      </c>
      <c r="H180" s="22" t="s">
        <v>315</v>
      </c>
      <c r="I180" s="258">
        <v>45608</v>
      </c>
      <c r="J180" s="262">
        <v>2</v>
      </c>
      <c r="K180" s="275"/>
      <c r="L180" s="259">
        <f t="shared" si="6"/>
        <v>0</v>
      </c>
      <c r="M180" s="259">
        <v>50000</v>
      </c>
      <c r="N180" s="22" t="s">
        <v>297</v>
      </c>
      <c r="O180" s="267">
        <v>45272</v>
      </c>
      <c r="P180" s="261">
        <f>11175/1.13</f>
        <v>9889.3805309734526</v>
      </c>
      <c r="Q180" s="22">
        <v>1</v>
      </c>
      <c r="R180" s="425">
        <f t="shared" si="7"/>
        <v>9889.3805309734526</v>
      </c>
      <c r="S180" s="22" t="s">
        <v>316</v>
      </c>
      <c r="T180" s="22" t="s">
        <v>317</v>
      </c>
      <c r="U180" s="22" t="s">
        <v>318</v>
      </c>
      <c r="V180" s="22"/>
      <c r="W180" s="428"/>
    </row>
    <row r="181" spans="1:23" s="301" customFormat="1" ht="14.45" customHeight="1">
      <c r="A181" s="22" t="s">
        <v>113</v>
      </c>
      <c r="B181" s="22" t="str">
        <f>VLOOKUP(A181,[1]Sheet1!$A:$B,2,0)</f>
        <v>MODI</v>
      </c>
      <c r="C181" s="32" t="s">
        <v>121</v>
      </c>
      <c r="D181" s="44">
        <v>130040670039442</v>
      </c>
      <c r="E181" s="22" t="s">
        <v>74</v>
      </c>
      <c r="F181" s="22">
        <v>2023</v>
      </c>
      <c r="G181" s="22">
        <v>12</v>
      </c>
      <c r="H181" s="22" t="s">
        <v>315</v>
      </c>
      <c r="I181" s="258">
        <v>45608</v>
      </c>
      <c r="J181" s="262">
        <v>2</v>
      </c>
      <c r="K181" s="275"/>
      <c r="L181" s="259">
        <f t="shared" si="6"/>
        <v>0</v>
      </c>
      <c r="M181" s="259">
        <v>50000</v>
      </c>
      <c r="N181" s="22" t="s">
        <v>297</v>
      </c>
      <c r="O181" s="267">
        <v>45272</v>
      </c>
      <c r="P181" s="261">
        <f>11175/1.13</f>
        <v>9889.3805309734526</v>
      </c>
      <c r="Q181" s="22">
        <v>1</v>
      </c>
      <c r="R181" s="425">
        <f t="shared" si="7"/>
        <v>9889.3805309734526</v>
      </c>
      <c r="S181" s="22" t="s">
        <v>316</v>
      </c>
      <c r="T181" s="22" t="s">
        <v>317</v>
      </c>
      <c r="U181" s="22" t="s">
        <v>318</v>
      </c>
      <c r="V181" s="22"/>
      <c r="W181" s="428"/>
    </row>
    <row r="182" spans="1:23" s="301" customFormat="1" ht="14.45" customHeight="1">
      <c r="A182" s="22" t="s">
        <v>130</v>
      </c>
      <c r="B182" s="22" t="str">
        <f>VLOOKUP(A182,[1]Sheet1!$A:$B,2,0)</f>
        <v>MODI</v>
      </c>
      <c r="C182" s="32" t="s">
        <v>132</v>
      </c>
      <c r="D182" s="44">
        <v>130040670024534</v>
      </c>
      <c r="E182" s="22" t="s">
        <v>74</v>
      </c>
      <c r="F182" s="22">
        <v>2023</v>
      </c>
      <c r="G182" s="22">
        <v>12</v>
      </c>
      <c r="H182" s="22" t="s">
        <v>315</v>
      </c>
      <c r="I182" s="258">
        <v>45608</v>
      </c>
      <c r="J182" s="262">
        <v>2</v>
      </c>
      <c r="K182" s="275"/>
      <c r="L182" s="259">
        <f t="shared" si="6"/>
        <v>0</v>
      </c>
      <c r="M182" s="259">
        <v>50000</v>
      </c>
      <c r="N182" s="22" t="s">
        <v>297</v>
      </c>
      <c r="O182" s="267">
        <v>45272</v>
      </c>
      <c r="P182" s="261">
        <f>7628/1.13</f>
        <v>6750.4424778761068</v>
      </c>
      <c r="Q182" s="22">
        <v>1</v>
      </c>
      <c r="R182" s="425">
        <f t="shared" si="7"/>
        <v>6750.4424778761068</v>
      </c>
      <c r="S182" s="22" t="s">
        <v>316</v>
      </c>
      <c r="T182" s="22" t="s">
        <v>317</v>
      </c>
      <c r="U182" s="22" t="s">
        <v>318</v>
      </c>
      <c r="V182" s="22"/>
      <c r="W182" s="428"/>
    </row>
    <row r="183" spans="1:23" s="301" customFormat="1" ht="14.45" customHeight="1">
      <c r="A183" s="22" t="s">
        <v>130</v>
      </c>
      <c r="B183" s="22" t="str">
        <f>VLOOKUP(A183,[1]Sheet1!$A:$B,2,0)</f>
        <v>MODI</v>
      </c>
      <c r="C183" s="32" t="s">
        <v>114</v>
      </c>
      <c r="D183" s="44">
        <v>130040670023440</v>
      </c>
      <c r="E183" s="22" t="s">
        <v>74</v>
      </c>
      <c r="F183" s="22">
        <v>2023</v>
      </c>
      <c r="G183" s="22">
        <v>12</v>
      </c>
      <c r="H183" s="22" t="s">
        <v>315</v>
      </c>
      <c r="I183" s="258">
        <v>45608</v>
      </c>
      <c r="J183" s="262">
        <v>2</v>
      </c>
      <c r="K183" s="275"/>
      <c r="L183" s="259">
        <f t="shared" si="6"/>
        <v>0</v>
      </c>
      <c r="M183" s="259">
        <v>50000</v>
      </c>
      <c r="N183" s="22" t="s">
        <v>297</v>
      </c>
      <c r="O183" s="267">
        <v>45272</v>
      </c>
      <c r="P183" s="261">
        <f>6300/1.13</f>
        <v>5575.2212389380538</v>
      </c>
      <c r="Q183" s="22">
        <v>1</v>
      </c>
      <c r="R183" s="425">
        <f t="shared" si="7"/>
        <v>5575.2212389380538</v>
      </c>
      <c r="S183" s="22" t="s">
        <v>316</v>
      </c>
      <c r="T183" s="22" t="s">
        <v>317</v>
      </c>
      <c r="U183" s="22" t="s">
        <v>318</v>
      </c>
      <c r="V183" s="22"/>
      <c r="W183" s="428"/>
    </row>
    <row r="184" spans="1:23" s="301" customFormat="1" ht="14.45" customHeight="1">
      <c r="A184" s="22" t="s">
        <v>106</v>
      </c>
      <c r="B184" s="22" t="str">
        <f>VLOOKUP(A184,[1]Sheet1!$A:$B,2,0)</f>
        <v>MODI</v>
      </c>
      <c r="C184" s="32" t="s">
        <v>108</v>
      </c>
      <c r="D184" s="44">
        <v>130040670018930</v>
      </c>
      <c r="E184" s="22" t="s">
        <v>74</v>
      </c>
      <c r="F184" s="22">
        <v>2023</v>
      </c>
      <c r="G184" s="22">
        <v>12</v>
      </c>
      <c r="H184" s="22" t="s">
        <v>315</v>
      </c>
      <c r="I184" s="258">
        <v>45608</v>
      </c>
      <c r="J184" s="262">
        <v>48</v>
      </c>
      <c r="K184" s="275">
        <v>2490280</v>
      </c>
      <c r="L184" s="259">
        <f t="shared" ref="L184:L239" si="8">K184*Q184</f>
        <v>2490280</v>
      </c>
      <c r="M184" s="259">
        <v>1000000</v>
      </c>
      <c r="N184" s="22" t="s">
        <v>299</v>
      </c>
      <c r="O184" s="267">
        <v>45275</v>
      </c>
      <c r="P184" s="261">
        <f>90366/1.13</f>
        <v>79969.911504424788</v>
      </c>
      <c r="Q184" s="22">
        <v>1</v>
      </c>
      <c r="R184" s="425">
        <f t="shared" si="7"/>
        <v>79969.911504424788</v>
      </c>
      <c r="S184" s="22" t="s">
        <v>316</v>
      </c>
      <c r="T184" s="22" t="s">
        <v>317</v>
      </c>
      <c r="U184" s="22" t="s">
        <v>318</v>
      </c>
      <c r="V184" s="22"/>
      <c r="W184" s="428"/>
    </row>
    <row r="185" spans="1:23" s="301" customFormat="1" ht="14.45" customHeight="1">
      <c r="A185" s="22" t="s">
        <v>113</v>
      </c>
      <c r="B185" s="22" t="str">
        <f>VLOOKUP(A185,[1]Sheet1!$A:$B,2,0)</f>
        <v>MODI</v>
      </c>
      <c r="C185" s="32" t="s">
        <v>116</v>
      </c>
      <c r="D185" s="44">
        <v>130040670023906</v>
      </c>
      <c r="E185" s="22" t="s">
        <v>74</v>
      </c>
      <c r="F185" s="22">
        <v>2023</v>
      </c>
      <c r="G185" s="22">
        <v>12</v>
      </c>
      <c r="H185" s="22" t="s">
        <v>315</v>
      </c>
      <c r="I185" s="258">
        <v>45608</v>
      </c>
      <c r="J185" s="262">
        <v>2</v>
      </c>
      <c r="K185" s="275"/>
      <c r="L185" s="259">
        <f t="shared" si="8"/>
        <v>0</v>
      </c>
      <c r="M185" s="259">
        <v>50000</v>
      </c>
      <c r="N185" s="22" t="s">
        <v>297</v>
      </c>
      <c r="O185" s="267">
        <v>45278</v>
      </c>
      <c r="P185" s="261">
        <f>5200/1.13</f>
        <v>4601.7699115044252</v>
      </c>
      <c r="Q185" s="22">
        <v>1</v>
      </c>
      <c r="R185" s="425">
        <f t="shared" si="7"/>
        <v>4601.7699115044252</v>
      </c>
      <c r="S185" s="22" t="s">
        <v>316</v>
      </c>
      <c r="T185" s="22" t="s">
        <v>317</v>
      </c>
      <c r="U185" s="22" t="s">
        <v>318</v>
      </c>
      <c r="V185" s="22"/>
      <c r="W185" s="428"/>
    </row>
    <row r="186" spans="1:23" s="301" customFormat="1" ht="14.45" customHeight="1">
      <c r="A186" s="22" t="s">
        <v>113</v>
      </c>
      <c r="B186" s="22" t="str">
        <f>VLOOKUP(A186,[1]Sheet1!$A:$B,2,0)</f>
        <v>MODI</v>
      </c>
      <c r="C186" s="32" t="s">
        <v>114</v>
      </c>
      <c r="D186" s="44">
        <v>130040670023899</v>
      </c>
      <c r="E186" s="22" t="s">
        <v>74</v>
      </c>
      <c r="F186" s="22">
        <v>2023</v>
      </c>
      <c r="G186" s="22">
        <v>12</v>
      </c>
      <c r="H186" s="22" t="s">
        <v>315</v>
      </c>
      <c r="I186" s="258">
        <v>45608</v>
      </c>
      <c r="J186" s="262">
        <v>2</v>
      </c>
      <c r="K186" s="275"/>
      <c r="L186" s="259">
        <f t="shared" si="8"/>
        <v>0</v>
      </c>
      <c r="M186" s="259">
        <v>50000</v>
      </c>
      <c r="N186" s="22" t="s">
        <v>297</v>
      </c>
      <c r="O186" s="267">
        <v>45278</v>
      </c>
      <c r="P186" s="261">
        <f>3800/1.13</f>
        <v>3362.8318584070798</v>
      </c>
      <c r="Q186" s="22">
        <v>1</v>
      </c>
      <c r="R186" s="425">
        <f t="shared" ref="R186:R233" si="9">P186*Q186</f>
        <v>3362.8318584070798</v>
      </c>
      <c r="S186" s="22" t="s">
        <v>316</v>
      </c>
      <c r="T186" s="22" t="s">
        <v>317</v>
      </c>
      <c r="U186" s="22" t="s">
        <v>318</v>
      </c>
      <c r="V186" s="22"/>
      <c r="W186" s="428"/>
    </row>
    <row r="187" spans="1:23" s="301" customFormat="1" ht="14.45" customHeight="1">
      <c r="A187" s="22" t="s">
        <v>113</v>
      </c>
      <c r="B187" s="22" t="str">
        <f>VLOOKUP(A187,[1]Sheet1!$A:$B,2,0)</f>
        <v>MODI</v>
      </c>
      <c r="C187" s="32" t="s">
        <v>111</v>
      </c>
      <c r="D187" s="44">
        <v>130040670023900</v>
      </c>
      <c r="E187" s="22" t="s">
        <v>74</v>
      </c>
      <c r="F187" s="22">
        <v>2023</v>
      </c>
      <c r="G187" s="22">
        <v>12</v>
      </c>
      <c r="H187" s="22" t="s">
        <v>315</v>
      </c>
      <c r="I187" s="258">
        <v>45608</v>
      </c>
      <c r="J187" s="262">
        <v>2</v>
      </c>
      <c r="K187" s="275"/>
      <c r="L187" s="259">
        <f t="shared" si="8"/>
        <v>0</v>
      </c>
      <c r="M187" s="259">
        <v>50000</v>
      </c>
      <c r="N187" s="22" t="s">
        <v>297</v>
      </c>
      <c r="O187" s="267">
        <v>45278</v>
      </c>
      <c r="P187" s="261">
        <f>2500/1.13</f>
        <v>2212.3893805309735</v>
      </c>
      <c r="Q187" s="22">
        <v>1</v>
      </c>
      <c r="R187" s="425">
        <f t="shared" si="9"/>
        <v>2212.3893805309735</v>
      </c>
      <c r="S187" s="22" t="s">
        <v>316</v>
      </c>
      <c r="T187" s="22" t="s">
        <v>317</v>
      </c>
      <c r="U187" s="22" t="s">
        <v>318</v>
      </c>
      <c r="V187" s="22"/>
      <c r="W187" s="428"/>
    </row>
    <row r="188" spans="1:23" s="301" customFormat="1" ht="14.45" customHeight="1">
      <c r="A188" s="22" t="s">
        <v>130</v>
      </c>
      <c r="B188" s="22" t="str">
        <f>VLOOKUP(A188,[1]Sheet1!$A:$B,2,0)</f>
        <v>MODI</v>
      </c>
      <c r="C188" s="32" t="s">
        <v>111</v>
      </c>
      <c r="D188" s="44">
        <v>130040670023442</v>
      </c>
      <c r="E188" s="22" t="s">
        <v>74</v>
      </c>
      <c r="F188" s="22">
        <v>2023</v>
      </c>
      <c r="G188" s="22">
        <v>12</v>
      </c>
      <c r="H188" s="22" t="s">
        <v>315</v>
      </c>
      <c r="I188" s="258">
        <v>45608</v>
      </c>
      <c r="J188" s="262">
        <v>2</v>
      </c>
      <c r="K188" s="275"/>
      <c r="L188" s="259">
        <f t="shared" si="8"/>
        <v>0</v>
      </c>
      <c r="M188" s="259">
        <v>50000</v>
      </c>
      <c r="N188" s="22" t="s">
        <v>297</v>
      </c>
      <c r="O188" s="267">
        <v>45286</v>
      </c>
      <c r="P188" s="261">
        <f>6800/1.13</f>
        <v>6017.6991150442482</v>
      </c>
      <c r="Q188" s="22">
        <v>1</v>
      </c>
      <c r="R188" s="425">
        <f t="shared" si="9"/>
        <v>6017.6991150442482</v>
      </c>
      <c r="S188" s="22" t="s">
        <v>316</v>
      </c>
      <c r="T188" s="22" t="s">
        <v>317</v>
      </c>
      <c r="U188" s="22" t="s">
        <v>318</v>
      </c>
      <c r="V188" s="22"/>
      <c r="W188" s="428"/>
    </row>
    <row r="189" spans="1:23" s="301" customFormat="1" ht="14.45" customHeight="1">
      <c r="A189" s="22" t="s">
        <v>130</v>
      </c>
      <c r="B189" s="22" t="str">
        <f>VLOOKUP(A189,[1]Sheet1!$A:$B,2,0)</f>
        <v>MODI</v>
      </c>
      <c r="C189" s="32" t="s">
        <v>114</v>
      </c>
      <c r="D189" s="44">
        <v>130040670023440</v>
      </c>
      <c r="E189" s="22" t="s">
        <v>74</v>
      </c>
      <c r="F189" s="22">
        <v>2023</v>
      </c>
      <c r="G189" s="22">
        <v>12</v>
      </c>
      <c r="H189" s="22" t="s">
        <v>315</v>
      </c>
      <c r="I189" s="258">
        <v>45608</v>
      </c>
      <c r="J189" s="262">
        <v>2</v>
      </c>
      <c r="K189" s="275"/>
      <c r="L189" s="259">
        <f t="shared" si="8"/>
        <v>0</v>
      </c>
      <c r="M189" s="259">
        <v>50000</v>
      </c>
      <c r="N189" s="22" t="s">
        <v>297</v>
      </c>
      <c r="O189" s="267">
        <v>45286</v>
      </c>
      <c r="P189" s="261">
        <f>21000/1.13</f>
        <v>18584.070796460179</v>
      </c>
      <c r="Q189" s="22">
        <v>1</v>
      </c>
      <c r="R189" s="425">
        <f t="shared" si="9"/>
        <v>18584.070796460179</v>
      </c>
      <c r="S189" s="22" t="s">
        <v>316</v>
      </c>
      <c r="T189" s="22" t="s">
        <v>317</v>
      </c>
      <c r="U189" s="22" t="s">
        <v>318</v>
      </c>
      <c r="V189" s="22"/>
      <c r="W189" s="428"/>
    </row>
    <row r="190" spans="1:23" s="301" customFormat="1" ht="14.45" customHeight="1">
      <c r="A190" s="22" t="s">
        <v>130</v>
      </c>
      <c r="B190" s="22" t="str">
        <f>VLOOKUP(A190,[1]Sheet1!$A:$B,2,0)</f>
        <v>MODI</v>
      </c>
      <c r="C190" s="32" t="s">
        <v>100</v>
      </c>
      <c r="D190" s="44">
        <v>130040670023444</v>
      </c>
      <c r="E190" s="22" t="s">
        <v>74</v>
      </c>
      <c r="F190" s="22">
        <v>2023</v>
      </c>
      <c r="G190" s="22">
        <v>12</v>
      </c>
      <c r="H190" s="22" t="s">
        <v>315</v>
      </c>
      <c r="I190" s="258">
        <v>45608</v>
      </c>
      <c r="J190" s="262">
        <v>2</v>
      </c>
      <c r="K190" s="275"/>
      <c r="L190" s="259">
        <f t="shared" si="8"/>
        <v>0</v>
      </c>
      <c r="M190" s="259">
        <v>50000</v>
      </c>
      <c r="N190" s="22" t="s">
        <v>297</v>
      </c>
      <c r="O190" s="267">
        <v>45286</v>
      </c>
      <c r="P190" s="261">
        <f>1500/1.13</f>
        <v>1327.4336283185842</v>
      </c>
      <c r="Q190" s="22">
        <v>1</v>
      </c>
      <c r="R190" s="425">
        <f t="shared" si="9"/>
        <v>1327.4336283185842</v>
      </c>
      <c r="S190" s="22" t="s">
        <v>316</v>
      </c>
      <c r="T190" s="22" t="s">
        <v>317</v>
      </c>
      <c r="U190" s="22" t="s">
        <v>318</v>
      </c>
      <c r="V190" s="22"/>
      <c r="W190" s="428"/>
    </row>
    <row r="191" spans="1:23" s="301" customFormat="1" ht="14.45" customHeight="1">
      <c r="A191" s="22" t="s">
        <v>130</v>
      </c>
      <c r="B191" s="22" t="str">
        <f>VLOOKUP(A191,[1]Sheet1!$A:$B,2,0)</f>
        <v>MODI</v>
      </c>
      <c r="C191" s="32" t="s">
        <v>108</v>
      </c>
      <c r="D191" s="44">
        <v>130040670023448</v>
      </c>
      <c r="E191" s="22" t="s">
        <v>74</v>
      </c>
      <c r="F191" s="22">
        <v>2023</v>
      </c>
      <c r="G191" s="22">
        <v>12</v>
      </c>
      <c r="H191" s="22" t="s">
        <v>315</v>
      </c>
      <c r="I191" s="258">
        <v>45608</v>
      </c>
      <c r="J191" s="262">
        <v>2</v>
      </c>
      <c r="K191" s="275"/>
      <c r="L191" s="259">
        <f t="shared" si="8"/>
        <v>0</v>
      </c>
      <c r="M191" s="259">
        <v>50000</v>
      </c>
      <c r="N191" s="22" t="s">
        <v>297</v>
      </c>
      <c r="O191" s="267">
        <v>45286</v>
      </c>
      <c r="P191" s="261">
        <f>27000/1.13</f>
        <v>23893.805309734515</v>
      </c>
      <c r="Q191" s="22">
        <v>1</v>
      </c>
      <c r="R191" s="425">
        <f t="shared" si="9"/>
        <v>23893.805309734515</v>
      </c>
      <c r="S191" s="22" t="s">
        <v>316</v>
      </c>
      <c r="T191" s="22" t="s">
        <v>317</v>
      </c>
      <c r="U191" s="22" t="s">
        <v>318</v>
      </c>
      <c r="V191" s="22"/>
      <c r="W191" s="428"/>
    </row>
    <row r="192" spans="1:23" s="301" customFormat="1" ht="14.45" customHeight="1">
      <c r="A192" s="22" t="s">
        <v>130</v>
      </c>
      <c r="B192" s="22" t="str">
        <f>VLOOKUP(A192,[1]Sheet1!$A:$B,2,0)</f>
        <v>MODI</v>
      </c>
      <c r="C192" s="32" t="s">
        <v>133</v>
      </c>
      <c r="D192" s="44">
        <v>130040670023443</v>
      </c>
      <c r="E192" s="22" t="s">
        <v>74</v>
      </c>
      <c r="F192" s="22">
        <v>2023</v>
      </c>
      <c r="G192" s="22">
        <v>12</v>
      </c>
      <c r="H192" s="22" t="s">
        <v>315</v>
      </c>
      <c r="I192" s="258">
        <v>45608</v>
      </c>
      <c r="J192" s="262">
        <v>2</v>
      </c>
      <c r="K192" s="275"/>
      <c r="L192" s="259">
        <f t="shared" si="8"/>
        <v>0</v>
      </c>
      <c r="M192" s="259">
        <v>50000</v>
      </c>
      <c r="N192" s="22" t="s">
        <v>297</v>
      </c>
      <c r="O192" s="267">
        <v>45286</v>
      </c>
      <c r="P192" s="261">
        <f>17630/1.13</f>
        <v>15601.769911504427</v>
      </c>
      <c r="Q192" s="22">
        <v>1</v>
      </c>
      <c r="R192" s="425">
        <f t="shared" si="9"/>
        <v>15601.769911504427</v>
      </c>
      <c r="S192" s="22" t="s">
        <v>316</v>
      </c>
      <c r="T192" s="22" t="s">
        <v>317</v>
      </c>
      <c r="U192" s="22" t="s">
        <v>318</v>
      </c>
      <c r="V192" s="22"/>
      <c r="W192" s="428"/>
    </row>
    <row r="193" spans="1:23" s="301" customFormat="1" ht="14.45" customHeight="1">
      <c r="A193" s="22" t="s">
        <v>106</v>
      </c>
      <c r="B193" s="22" t="str">
        <f>VLOOKUP(A193,[1]Sheet1!$A:$B,2,0)</f>
        <v>MODI</v>
      </c>
      <c r="C193" s="32" t="s">
        <v>111</v>
      </c>
      <c r="D193" s="44">
        <v>130040670018919</v>
      </c>
      <c r="E193" s="22" t="s">
        <v>74</v>
      </c>
      <c r="F193" s="22">
        <v>2023</v>
      </c>
      <c r="G193" s="22">
        <v>12</v>
      </c>
      <c r="H193" s="22" t="s">
        <v>315</v>
      </c>
      <c r="I193" s="258">
        <v>45608</v>
      </c>
      <c r="J193" s="262">
        <v>2</v>
      </c>
      <c r="K193" s="275"/>
      <c r="L193" s="259">
        <f t="shared" si="8"/>
        <v>0</v>
      </c>
      <c r="M193" s="259">
        <v>50000</v>
      </c>
      <c r="N193" s="22" t="s">
        <v>297</v>
      </c>
      <c r="O193" s="267">
        <v>45286</v>
      </c>
      <c r="P193" s="261">
        <f>24000/1.13</f>
        <v>21238.938053097347</v>
      </c>
      <c r="Q193" s="22">
        <v>1</v>
      </c>
      <c r="R193" s="425">
        <f t="shared" si="9"/>
        <v>21238.938053097347</v>
      </c>
      <c r="S193" s="22" t="s">
        <v>316</v>
      </c>
      <c r="T193" s="22" t="s">
        <v>317</v>
      </c>
      <c r="U193" s="22" t="s">
        <v>318</v>
      </c>
      <c r="V193" s="22"/>
      <c r="W193" s="428"/>
    </row>
    <row r="194" spans="1:23" s="301" customFormat="1" ht="14.45" customHeight="1">
      <c r="A194" s="22" t="s">
        <v>106</v>
      </c>
      <c r="B194" s="22" t="str">
        <f>VLOOKUP(A194,[1]Sheet1!$A:$B,2,0)</f>
        <v>MODI</v>
      </c>
      <c r="C194" s="32" t="s">
        <v>100</v>
      </c>
      <c r="D194" s="44">
        <v>130040670018928</v>
      </c>
      <c r="E194" s="22" t="s">
        <v>74</v>
      </c>
      <c r="F194" s="22">
        <v>2023</v>
      </c>
      <c r="G194" s="22">
        <v>12</v>
      </c>
      <c r="H194" s="22" t="s">
        <v>315</v>
      </c>
      <c r="I194" s="258">
        <v>45608</v>
      </c>
      <c r="J194" s="262">
        <v>2</v>
      </c>
      <c r="K194" s="275"/>
      <c r="L194" s="259">
        <f t="shared" si="8"/>
        <v>0</v>
      </c>
      <c r="M194" s="259">
        <v>50000</v>
      </c>
      <c r="N194" s="22" t="s">
        <v>297</v>
      </c>
      <c r="O194" s="267">
        <v>45288</v>
      </c>
      <c r="P194" s="261">
        <f>7693/1.13</f>
        <v>6807.9646017699124</v>
      </c>
      <c r="Q194" s="22">
        <v>1</v>
      </c>
      <c r="R194" s="425">
        <f t="shared" si="9"/>
        <v>6807.9646017699124</v>
      </c>
      <c r="S194" s="22" t="s">
        <v>316</v>
      </c>
      <c r="T194" s="22" t="s">
        <v>317</v>
      </c>
      <c r="U194" s="22" t="s">
        <v>318</v>
      </c>
      <c r="V194" s="22"/>
      <c r="W194" s="428"/>
    </row>
    <row r="195" spans="1:23" s="301" customFormat="1" ht="14.45" customHeight="1">
      <c r="A195" s="22" t="s">
        <v>113</v>
      </c>
      <c r="B195" s="22" t="str">
        <f>VLOOKUP(A195,[1]Sheet1!$A:$B,2,0)</f>
        <v>MODI</v>
      </c>
      <c r="C195" s="32" t="s">
        <v>100</v>
      </c>
      <c r="D195" s="44">
        <v>130040670018928</v>
      </c>
      <c r="E195" s="22" t="s">
        <v>74</v>
      </c>
      <c r="F195" s="22">
        <v>2023</v>
      </c>
      <c r="G195" s="22">
        <v>10</v>
      </c>
      <c r="H195" s="22" t="s">
        <v>315</v>
      </c>
      <c r="I195" s="258">
        <v>45608</v>
      </c>
      <c r="J195" s="262">
        <v>2</v>
      </c>
      <c r="K195" s="275"/>
      <c r="L195" s="259">
        <f t="shared" si="8"/>
        <v>0</v>
      </c>
      <c r="M195" s="259">
        <v>50000</v>
      </c>
      <c r="N195" s="22" t="s">
        <v>296</v>
      </c>
      <c r="O195" s="267">
        <v>45196</v>
      </c>
      <c r="P195" s="273">
        <v>134000</v>
      </c>
      <c r="Q195" s="22">
        <v>1</v>
      </c>
      <c r="R195" s="425">
        <v>134000</v>
      </c>
      <c r="S195" s="22" t="s">
        <v>347</v>
      </c>
      <c r="T195" s="22" t="s">
        <v>317</v>
      </c>
      <c r="U195" s="22" t="s">
        <v>318</v>
      </c>
      <c r="V195" s="22"/>
      <c r="W195" s="428"/>
    </row>
    <row r="196" spans="1:23" s="301" customFormat="1" ht="14.45" customHeight="1">
      <c r="A196" s="22" t="s">
        <v>113</v>
      </c>
      <c r="B196" s="22" t="str">
        <f>VLOOKUP(A196,[1]Sheet1!$A:$B,2,0)</f>
        <v>MODI</v>
      </c>
      <c r="C196" s="32" t="s">
        <v>104</v>
      </c>
      <c r="D196" s="44">
        <v>130040670018929</v>
      </c>
      <c r="E196" s="22" t="s">
        <v>74</v>
      </c>
      <c r="F196" s="22">
        <v>2023</v>
      </c>
      <c r="G196" s="22">
        <v>10</v>
      </c>
      <c r="H196" s="22" t="s">
        <v>315</v>
      </c>
      <c r="I196" s="258">
        <v>45608</v>
      </c>
      <c r="J196" s="262">
        <v>2</v>
      </c>
      <c r="K196" s="275"/>
      <c r="L196" s="259">
        <f t="shared" si="8"/>
        <v>0</v>
      </c>
      <c r="M196" s="259">
        <v>50000</v>
      </c>
      <c r="N196" s="22" t="s">
        <v>296</v>
      </c>
      <c r="O196" s="267">
        <v>45196</v>
      </c>
      <c r="P196" s="273">
        <v>89000.000000000015</v>
      </c>
      <c r="Q196" s="22">
        <v>1</v>
      </c>
      <c r="R196" s="425">
        <v>89000.000000000015</v>
      </c>
      <c r="S196" s="22" t="s">
        <v>347</v>
      </c>
      <c r="T196" s="22" t="s">
        <v>317</v>
      </c>
      <c r="U196" s="22" t="s">
        <v>318</v>
      </c>
      <c r="V196" s="22"/>
      <c r="W196" s="428"/>
    </row>
    <row r="197" spans="1:23" s="301" customFormat="1" ht="14.45" customHeight="1">
      <c r="A197" s="22" t="s">
        <v>113</v>
      </c>
      <c r="B197" s="22" t="str">
        <f>VLOOKUP(A197,[1]Sheet1!$A:$B,2,0)</f>
        <v>MODI</v>
      </c>
      <c r="C197" s="32" t="s">
        <v>108</v>
      </c>
      <c r="D197" s="44">
        <v>130040670018930</v>
      </c>
      <c r="E197" s="22" t="s">
        <v>74</v>
      </c>
      <c r="F197" s="22">
        <v>2023</v>
      </c>
      <c r="G197" s="22">
        <v>10</v>
      </c>
      <c r="H197" s="22" t="s">
        <v>315</v>
      </c>
      <c r="I197" s="258">
        <v>45608</v>
      </c>
      <c r="J197" s="262">
        <v>2</v>
      </c>
      <c r="K197" s="275"/>
      <c r="L197" s="259">
        <f t="shared" si="8"/>
        <v>0</v>
      </c>
      <c r="M197" s="259">
        <v>50000</v>
      </c>
      <c r="N197" s="22" t="s">
        <v>296</v>
      </c>
      <c r="O197" s="267">
        <v>45196</v>
      </c>
      <c r="P197" s="273">
        <v>89000.000000000015</v>
      </c>
      <c r="Q197" s="22">
        <v>1</v>
      </c>
      <c r="R197" s="425">
        <v>89000.000000000015</v>
      </c>
      <c r="S197" s="22" t="s">
        <v>347</v>
      </c>
      <c r="T197" s="22" t="s">
        <v>317</v>
      </c>
      <c r="U197" s="22" t="s">
        <v>318</v>
      </c>
      <c r="V197" s="22"/>
      <c r="W197" s="428"/>
    </row>
    <row r="198" spans="1:23" s="301" customFormat="1" ht="14.45" customHeight="1">
      <c r="A198" s="22" t="s">
        <v>113</v>
      </c>
      <c r="B198" s="22" t="str">
        <f>VLOOKUP(A198,[1]Sheet1!$A:$B,2,0)</f>
        <v>MODI</v>
      </c>
      <c r="C198" s="32" t="s">
        <v>114</v>
      </c>
      <c r="D198" s="44">
        <v>130040670023899</v>
      </c>
      <c r="E198" s="22" t="s">
        <v>74</v>
      </c>
      <c r="F198" s="22">
        <v>2023</v>
      </c>
      <c r="G198" s="22">
        <v>9</v>
      </c>
      <c r="H198" s="22" t="s">
        <v>315</v>
      </c>
      <c r="I198" s="258">
        <v>45608</v>
      </c>
      <c r="J198" s="262">
        <v>2</v>
      </c>
      <c r="K198" s="275"/>
      <c r="L198" s="259">
        <f t="shared" si="8"/>
        <v>0</v>
      </c>
      <c r="M198" s="259">
        <v>50000</v>
      </c>
      <c r="N198" s="22" t="s">
        <v>296</v>
      </c>
      <c r="O198" s="267">
        <v>45196</v>
      </c>
      <c r="P198" s="261">
        <f>122040/1.13</f>
        <v>108000.00000000001</v>
      </c>
      <c r="Q198" s="22">
        <v>1</v>
      </c>
      <c r="R198" s="425">
        <f t="shared" si="9"/>
        <v>108000.00000000001</v>
      </c>
      <c r="S198" s="22" t="s">
        <v>347</v>
      </c>
      <c r="T198" s="22" t="s">
        <v>317</v>
      </c>
      <c r="U198" s="22" t="s">
        <v>318</v>
      </c>
      <c r="V198" s="22"/>
      <c r="W198" s="428"/>
    </row>
    <row r="199" spans="1:23" s="301" customFormat="1" ht="14.45" customHeight="1">
      <c r="A199" s="22" t="s">
        <v>113</v>
      </c>
      <c r="B199" s="22" t="str">
        <f>VLOOKUP(A199,[1]Sheet1!$A:$B,2,0)</f>
        <v>MODI</v>
      </c>
      <c r="C199" s="32" t="s">
        <v>111</v>
      </c>
      <c r="D199" s="44">
        <v>130040670023900</v>
      </c>
      <c r="E199" s="22" t="s">
        <v>74</v>
      </c>
      <c r="F199" s="22">
        <v>2023</v>
      </c>
      <c r="G199" s="22">
        <v>9</v>
      </c>
      <c r="H199" s="22" t="s">
        <v>315</v>
      </c>
      <c r="I199" s="258">
        <v>45608</v>
      </c>
      <c r="J199" s="262">
        <v>2</v>
      </c>
      <c r="K199" s="275"/>
      <c r="L199" s="259">
        <f t="shared" si="8"/>
        <v>0</v>
      </c>
      <c r="M199" s="259">
        <v>50000</v>
      </c>
      <c r="N199" s="22" t="s">
        <v>296</v>
      </c>
      <c r="O199" s="267">
        <v>45196</v>
      </c>
      <c r="P199" s="261">
        <f>111870/1.13</f>
        <v>99000.000000000015</v>
      </c>
      <c r="Q199" s="22">
        <v>1</v>
      </c>
      <c r="R199" s="425">
        <f t="shared" si="9"/>
        <v>99000.000000000015</v>
      </c>
      <c r="S199" s="22" t="s">
        <v>347</v>
      </c>
      <c r="T199" s="22" t="s">
        <v>317</v>
      </c>
      <c r="U199" s="22" t="s">
        <v>318</v>
      </c>
      <c r="V199" s="22"/>
      <c r="W199" s="428"/>
    </row>
    <row r="200" spans="1:23" s="301" customFormat="1" ht="14.45" customHeight="1">
      <c r="A200" s="22" t="s">
        <v>113</v>
      </c>
      <c r="B200" s="22" t="str">
        <f>VLOOKUP(A200,[1]Sheet1!$A:$B,2,0)</f>
        <v>MODI</v>
      </c>
      <c r="C200" s="32" t="s">
        <v>116</v>
      </c>
      <c r="D200" s="44">
        <v>130040670023906</v>
      </c>
      <c r="E200" s="22" t="s">
        <v>74</v>
      </c>
      <c r="F200" s="22">
        <v>2023</v>
      </c>
      <c r="G200" s="22">
        <v>9</v>
      </c>
      <c r="H200" s="22" t="s">
        <v>315</v>
      </c>
      <c r="I200" s="258">
        <v>45608</v>
      </c>
      <c r="J200" s="262">
        <v>2</v>
      </c>
      <c r="K200" s="275"/>
      <c r="L200" s="259">
        <f t="shared" si="8"/>
        <v>0</v>
      </c>
      <c r="M200" s="259">
        <v>50000</v>
      </c>
      <c r="N200" s="22" t="s">
        <v>296</v>
      </c>
      <c r="O200" s="267">
        <v>45196</v>
      </c>
      <c r="P200" s="261">
        <f>79100/1.13</f>
        <v>70000</v>
      </c>
      <c r="Q200" s="22">
        <v>1</v>
      </c>
      <c r="R200" s="425">
        <f t="shared" si="9"/>
        <v>70000</v>
      </c>
      <c r="S200" s="22" t="s">
        <v>347</v>
      </c>
      <c r="T200" s="22" t="s">
        <v>317</v>
      </c>
      <c r="U200" s="22" t="s">
        <v>318</v>
      </c>
      <c r="V200" s="22"/>
      <c r="W200" s="428"/>
    </row>
    <row r="201" spans="1:23" s="301" customFormat="1" ht="14.45" customHeight="1">
      <c r="A201" s="22" t="s">
        <v>113</v>
      </c>
      <c r="B201" s="22" t="str">
        <f>VLOOKUP(A201,[1]Sheet1!$A:$B,2,0)</f>
        <v>MODI</v>
      </c>
      <c r="C201" s="32" t="s">
        <v>119</v>
      </c>
      <c r="D201" s="44">
        <v>130040670039455</v>
      </c>
      <c r="E201" s="22" t="s">
        <v>74</v>
      </c>
      <c r="F201" s="22">
        <v>2023</v>
      </c>
      <c r="G201" s="22">
        <v>9</v>
      </c>
      <c r="H201" s="22" t="s">
        <v>315</v>
      </c>
      <c r="I201" s="258">
        <v>45608</v>
      </c>
      <c r="J201" s="262">
        <v>2</v>
      </c>
      <c r="K201" s="275"/>
      <c r="L201" s="259">
        <f t="shared" si="8"/>
        <v>0</v>
      </c>
      <c r="M201" s="259">
        <v>50000</v>
      </c>
      <c r="N201" s="22" t="s">
        <v>296</v>
      </c>
      <c r="O201" s="267">
        <v>45196</v>
      </c>
      <c r="P201" s="261">
        <f>73450/1.13</f>
        <v>65000.000000000007</v>
      </c>
      <c r="Q201" s="22">
        <v>1</v>
      </c>
      <c r="R201" s="425">
        <f t="shared" si="9"/>
        <v>65000.000000000007</v>
      </c>
      <c r="S201" s="22" t="s">
        <v>347</v>
      </c>
      <c r="T201" s="22" t="s">
        <v>317</v>
      </c>
      <c r="U201" s="22" t="s">
        <v>318</v>
      </c>
      <c r="V201" s="22"/>
      <c r="W201" s="428"/>
    </row>
    <row r="202" spans="1:23" s="301" customFormat="1" ht="14.45" customHeight="1">
      <c r="A202" s="22" t="s">
        <v>113</v>
      </c>
      <c r="B202" s="22" t="str">
        <f>VLOOKUP(A202,[1]Sheet1!$A:$B,2,0)</f>
        <v>MODI</v>
      </c>
      <c r="C202" s="32" t="s">
        <v>121</v>
      </c>
      <c r="D202" s="44">
        <v>130040670039442</v>
      </c>
      <c r="E202" s="22" t="s">
        <v>74</v>
      </c>
      <c r="F202" s="22">
        <v>2023</v>
      </c>
      <c r="G202" s="22">
        <v>9</v>
      </c>
      <c r="H202" s="22" t="s">
        <v>315</v>
      </c>
      <c r="I202" s="258">
        <v>45608</v>
      </c>
      <c r="J202" s="262">
        <v>2</v>
      </c>
      <c r="K202" s="275"/>
      <c r="L202" s="259">
        <f t="shared" si="8"/>
        <v>0</v>
      </c>
      <c r="M202" s="259">
        <v>50000</v>
      </c>
      <c r="N202" s="22" t="s">
        <v>296</v>
      </c>
      <c r="O202" s="267">
        <v>45196</v>
      </c>
      <c r="P202" s="261">
        <f>73450/1.13</f>
        <v>65000.000000000007</v>
      </c>
      <c r="Q202" s="22">
        <v>1</v>
      </c>
      <c r="R202" s="425">
        <f t="shared" ref="R202:R204" si="10">P202*Q202</f>
        <v>65000.000000000007</v>
      </c>
      <c r="S202" s="22" t="s">
        <v>347</v>
      </c>
      <c r="T202" s="22" t="s">
        <v>317</v>
      </c>
      <c r="U202" s="22" t="s">
        <v>318</v>
      </c>
      <c r="V202" s="22"/>
      <c r="W202" s="428"/>
    </row>
    <row r="203" spans="1:23" s="301" customFormat="1" ht="14.45" customHeight="1">
      <c r="A203" s="22" t="s">
        <v>130</v>
      </c>
      <c r="B203" s="22" t="str">
        <f>VLOOKUP(A203,[1]Sheet1!$A:$B,2,0)</f>
        <v>MODI</v>
      </c>
      <c r="C203" s="32" t="s">
        <v>100</v>
      </c>
      <c r="D203" s="44">
        <v>130040670023444</v>
      </c>
      <c r="E203" s="22" t="s">
        <v>74</v>
      </c>
      <c r="F203" s="22">
        <v>2023</v>
      </c>
      <c r="G203" s="22">
        <v>10</v>
      </c>
      <c r="H203" s="22" t="s">
        <v>315</v>
      </c>
      <c r="I203" s="258">
        <v>45608</v>
      </c>
      <c r="J203" s="262">
        <v>2</v>
      </c>
      <c r="K203" s="275"/>
      <c r="L203" s="259">
        <f t="shared" si="8"/>
        <v>0</v>
      </c>
      <c r="M203" s="259">
        <v>50000</v>
      </c>
      <c r="N203" s="22" t="s">
        <v>296</v>
      </c>
      <c r="O203" s="267">
        <v>45230</v>
      </c>
      <c r="P203" s="261">
        <f>211310/1.13</f>
        <v>187000.00000000003</v>
      </c>
      <c r="Q203" s="22">
        <v>1</v>
      </c>
      <c r="R203" s="425">
        <f t="shared" si="10"/>
        <v>187000.00000000003</v>
      </c>
      <c r="S203" s="22" t="s">
        <v>358</v>
      </c>
      <c r="T203" s="22" t="s">
        <v>317</v>
      </c>
      <c r="U203" s="22" t="s">
        <v>318</v>
      </c>
      <c r="V203" s="22"/>
      <c r="W203" s="428"/>
    </row>
    <row r="204" spans="1:23" s="301" customFormat="1" ht="14.45" customHeight="1">
      <c r="A204" s="22" t="s">
        <v>130</v>
      </c>
      <c r="B204" s="22" t="str">
        <f>VLOOKUP(A204,[1]Sheet1!$A:$B,2,0)</f>
        <v>MODI</v>
      </c>
      <c r="C204" s="32" t="s">
        <v>133</v>
      </c>
      <c r="D204" s="44">
        <v>130040670023443</v>
      </c>
      <c r="E204" s="22" t="s">
        <v>74</v>
      </c>
      <c r="F204" s="22">
        <v>2023</v>
      </c>
      <c r="G204" s="22">
        <v>10</v>
      </c>
      <c r="H204" s="22" t="s">
        <v>315</v>
      </c>
      <c r="I204" s="258">
        <v>45608</v>
      </c>
      <c r="J204" s="262">
        <v>2</v>
      </c>
      <c r="K204" s="275"/>
      <c r="L204" s="259">
        <f t="shared" si="8"/>
        <v>0</v>
      </c>
      <c r="M204" s="259">
        <v>50000</v>
      </c>
      <c r="N204" s="22" t="s">
        <v>296</v>
      </c>
      <c r="O204" s="267">
        <v>45230</v>
      </c>
      <c r="P204" s="261">
        <f>84750/1.13</f>
        <v>75000</v>
      </c>
      <c r="Q204" s="22">
        <v>1</v>
      </c>
      <c r="R204" s="425">
        <f t="shared" si="10"/>
        <v>75000</v>
      </c>
      <c r="S204" s="22" t="s">
        <v>358</v>
      </c>
      <c r="T204" s="22" t="s">
        <v>317</v>
      </c>
      <c r="U204" s="22" t="s">
        <v>318</v>
      </c>
      <c r="V204" s="22"/>
      <c r="W204" s="428"/>
    </row>
    <row r="205" spans="1:23" s="301" customFormat="1" ht="14.45" customHeight="1">
      <c r="A205" s="22" t="s">
        <v>130</v>
      </c>
      <c r="B205" s="22" t="str">
        <f>VLOOKUP(A205,[1]Sheet1!$A:$B,2,0)</f>
        <v>MODI</v>
      </c>
      <c r="C205" s="32" t="s">
        <v>111</v>
      </c>
      <c r="D205" s="44">
        <v>130040670023442</v>
      </c>
      <c r="E205" s="22" t="s">
        <v>74</v>
      </c>
      <c r="F205" s="22">
        <v>2023</v>
      </c>
      <c r="G205" s="22">
        <v>10</v>
      </c>
      <c r="H205" s="22" t="s">
        <v>315</v>
      </c>
      <c r="I205" s="258">
        <v>45608</v>
      </c>
      <c r="J205" s="262">
        <v>2</v>
      </c>
      <c r="K205" s="275"/>
      <c r="L205" s="259">
        <f t="shared" si="8"/>
        <v>0</v>
      </c>
      <c r="M205" s="259">
        <v>50000</v>
      </c>
      <c r="N205" s="22" t="s">
        <v>296</v>
      </c>
      <c r="O205" s="267">
        <v>45230</v>
      </c>
      <c r="P205" s="261">
        <f>110740/1.13</f>
        <v>98000.000000000015</v>
      </c>
      <c r="Q205" s="22">
        <v>1</v>
      </c>
      <c r="R205" s="425">
        <f t="shared" si="9"/>
        <v>98000.000000000015</v>
      </c>
      <c r="S205" s="22" t="s">
        <v>358</v>
      </c>
      <c r="T205" s="22" t="s">
        <v>317</v>
      </c>
      <c r="U205" s="22" t="s">
        <v>318</v>
      </c>
      <c r="V205" s="22"/>
      <c r="W205" s="428"/>
    </row>
    <row r="206" spans="1:23" s="301" customFormat="1" ht="14.45" customHeight="1">
      <c r="A206" s="22" t="s">
        <v>130</v>
      </c>
      <c r="B206" s="22" t="str">
        <f>VLOOKUP(A206,[1]Sheet1!$A:$B,2,0)</f>
        <v>MODI</v>
      </c>
      <c r="C206" s="32" t="s">
        <v>104</v>
      </c>
      <c r="D206" s="44">
        <v>130040670023445</v>
      </c>
      <c r="E206" s="22" t="s">
        <v>74</v>
      </c>
      <c r="F206" s="22">
        <v>2023</v>
      </c>
      <c r="G206" s="22">
        <v>10</v>
      </c>
      <c r="H206" s="22" t="s">
        <v>315</v>
      </c>
      <c r="I206" s="258">
        <v>45608</v>
      </c>
      <c r="J206" s="262">
        <v>2</v>
      </c>
      <c r="K206" s="275"/>
      <c r="L206" s="259">
        <f t="shared" si="8"/>
        <v>0</v>
      </c>
      <c r="M206" s="259">
        <v>50000</v>
      </c>
      <c r="N206" s="22" t="s">
        <v>296</v>
      </c>
      <c r="O206" s="267">
        <v>45230</v>
      </c>
      <c r="P206" s="261">
        <f>100570/1.13</f>
        <v>89000.000000000015</v>
      </c>
      <c r="Q206" s="22">
        <v>1</v>
      </c>
      <c r="R206" s="425">
        <f t="shared" si="9"/>
        <v>89000.000000000015</v>
      </c>
      <c r="S206" s="22" t="s">
        <v>358</v>
      </c>
      <c r="T206" s="22" t="s">
        <v>317</v>
      </c>
      <c r="U206" s="22" t="s">
        <v>318</v>
      </c>
      <c r="V206" s="22"/>
      <c r="W206" s="428"/>
    </row>
    <row r="207" spans="1:23" s="301" customFormat="1" ht="14.45" customHeight="1">
      <c r="A207" s="22" t="s">
        <v>130</v>
      </c>
      <c r="B207" s="22" t="str">
        <f>VLOOKUP(A207,[1]Sheet1!$A:$B,2,0)</f>
        <v>MODI</v>
      </c>
      <c r="C207" s="32" t="s">
        <v>108</v>
      </c>
      <c r="D207" s="44">
        <v>130040670023448</v>
      </c>
      <c r="E207" s="22" t="s">
        <v>74</v>
      </c>
      <c r="F207" s="22">
        <v>2023</v>
      </c>
      <c r="G207" s="22">
        <v>10</v>
      </c>
      <c r="H207" s="22" t="s">
        <v>315</v>
      </c>
      <c r="I207" s="258">
        <v>45608</v>
      </c>
      <c r="J207" s="262">
        <v>2</v>
      </c>
      <c r="K207" s="275"/>
      <c r="L207" s="259">
        <f t="shared" si="8"/>
        <v>0</v>
      </c>
      <c r="M207" s="259">
        <v>50000</v>
      </c>
      <c r="N207" s="22" t="s">
        <v>296</v>
      </c>
      <c r="O207" s="267">
        <v>45230</v>
      </c>
      <c r="P207" s="261">
        <f>100570/1.13</f>
        <v>89000.000000000015</v>
      </c>
      <c r="Q207" s="22">
        <v>1</v>
      </c>
      <c r="R207" s="425">
        <f t="shared" si="9"/>
        <v>89000.000000000015</v>
      </c>
      <c r="S207" s="22" t="s">
        <v>358</v>
      </c>
      <c r="T207" s="22" t="s">
        <v>317</v>
      </c>
      <c r="U207" s="22" t="s">
        <v>318</v>
      </c>
      <c r="V207" s="22"/>
      <c r="W207" s="428"/>
    </row>
    <row r="208" spans="1:23" s="301" customFormat="1" ht="14.45" customHeight="1">
      <c r="A208" s="22" t="s">
        <v>130</v>
      </c>
      <c r="B208" s="22" t="str">
        <f>VLOOKUP(A208,[1]Sheet1!$A:$B,2,0)</f>
        <v>MODI</v>
      </c>
      <c r="C208" s="32" t="s">
        <v>114</v>
      </c>
      <c r="D208" s="44">
        <v>130040670023440</v>
      </c>
      <c r="E208" s="22" t="s">
        <v>74</v>
      </c>
      <c r="F208" s="22">
        <v>2023</v>
      </c>
      <c r="G208" s="22">
        <v>10</v>
      </c>
      <c r="H208" s="22" t="s">
        <v>315</v>
      </c>
      <c r="I208" s="258">
        <v>45608</v>
      </c>
      <c r="J208" s="262">
        <v>2</v>
      </c>
      <c r="K208" s="275"/>
      <c r="L208" s="259">
        <f t="shared" si="8"/>
        <v>0</v>
      </c>
      <c r="M208" s="259">
        <v>50000</v>
      </c>
      <c r="N208" s="22" t="s">
        <v>296</v>
      </c>
      <c r="O208" s="267">
        <v>45230</v>
      </c>
      <c r="P208" s="261">
        <f>116390/1.13</f>
        <v>103000.00000000001</v>
      </c>
      <c r="Q208" s="22">
        <v>1</v>
      </c>
      <c r="R208" s="425">
        <f t="shared" si="9"/>
        <v>103000.00000000001</v>
      </c>
      <c r="S208" s="22" t="s">
        <v>358</v>
      </c>
      <c r="T208" s="22" t="s">
        <v>317</v>
      </c>
      <c r="U208" s="22" t="s">
        <v>318</v>
      </c>
      <c r="V208" s="22"/>
      <c r="W208" s="428"/>
    </row>
    <row r="209" spans="1:23" s="301" customFormat="1" ht="14.45" customHeight="1">
      <c r="A209" s="22" t="s">
        <v>130</v>
      </c>
      <c r="B209" s="22" t="str">
        <f>VLOOKUP(A209,[1]Sheet1!$A:$B,2,0)</f>
        <v>MODI</v>
      </c>
      <c r="C209" s="32" t="s">
        <v>132</v>
      </c>
      <c r="D209" s="44">
        <v>130040670024534</v>
      </c>
      <c r="E209" s="22" t="s">
        <v>74</v>
      </c>
      <c r="F209" s="22">
        <v>2023</v>
      </c>
      <c r="G209" s="22">
        <v>10</v>
      </c>
      <c r="H209" s="22" t="s">
        <v>315</v>
      </c>
      <c r="I209" s="258">
        <v>45608</v>
      </c>
      <c r="J209" s="262">
        <v>2</v>
      </c>
      <c r="K209" s="275"/>
      <c r="L209" s="259">
        <f t="shared" si="8"/>
        <v>0</v>
      </c>
      <c r="M209" s="259">
        <v>50000</v>
      </c>
      <c r="N209" s="22" t="s">
        <v>296</v>
      </c>
      <c r="O209" s="267">
        <v>45230</v>
      </c>
      <c r="P209" s="261">
        <f>79100/1.13</f>
        <v>70000</v>
      </c>
      <c r="Q209" s="22">
        <v>1</v>
      </c>
      <c r="R209" s="425">
        <f t="shared" si="9"/>
        <v>70000</v>
      </c>
      <c r="S209" s="22" t="s">
        <v>358</v>
      </c>
      <c r="T209" s="22" t="s">
        <v>317</v>
      </c>
      <c r="U209" s="22" t="s">
        <v>318</v>
      </c>
      <c r="V209" s="22"/>
      <c r="W209" s="428"/>
    </row>
    <row r="210" spans="1:23" s="301" customFormat="1" ht="14.45" customHeight="1">
      <c r="A210" s="272" t="s">
        <v>153</v>
      </c>
      <c r="B210" s="22" t="str">
        <f>VLOOKUP(A210,[1]Sheet1!$A:$B,2,0)</f>
        <v>MODI</v>
      </c>
      <c r="C210" s="32" t="s">
        <v>133</v>
      </c>
      <c r="D210" s="44">
        <v>130040670043029</v>
      </c>
      <c r="E210" s="22" t="s">
        <v>74</v>
      </c>
      <c r="F210" s="22">
        <v>2023</v>
      </c>
      <c r="G210" s="22">
        <v>12</v>
      </c>
      <c r="H210" s="22" t="s">
        <v>315</v>
      </c>
      <c r="I210" s="258">
        <v>45608</v>
      </c>
      <c r="J210" s="262">
        <v>2</v>
      </c>
      <c r="K210" s="275"/>
      <c r="L210" s="259">
        <f t="shared" si="8"/>
        <v>0</v>
      </c>
      <c r="M210" s="259">
        <v>50000</v>
      </c>
      <c r="N210" s="22" t="s">
        <v>296</v>
      </c>
      <c r="O210" s="267">
        <v>45289</v>
      </c>
      <c r="P210" s="261">
        <f>73450/1.13</f>
        <v>65000.000000000007</v>
      </c>
      <c r="Q210" s="22">
        <v>1</v>
      </c>
      <c r="R210" s="425">
        <f t="shared" si="9"/>
        <v>65000.000000000007</v>
      </c>
      <c r="S210" s="22" t="s">
        <v>358</v>
      </c>
      <c r="T210" s="22" t="s">
        <v>317</v>
      </c>
      <c r="U210" s="22" t="s">
        <v>318</v>
      </c>
      <c r="V210" s="22"/>
      <c r="W210" s="428"/>
    </row>
    <row r="211" spans="1:23" s="301" customFormat="1" ht="14.45" customHeight="1">
      <c r="A211" s="272" t="s">
        <v>359</v>
      </c>
      <c r="B211" s="22" t="str">
        <f>VLOOKUP(A211,[1]Sheet1!$A:$B,2,0)</f>
        <v>HP</v>
      </c>
      <c r="C211" s="272" t="s">
        <v>360</v>
      </c>
      <c r="D211" s="44">
        <v>620202001</v>
      </c>
      <c r="E211" s="22" t="s">
        <v>74</v>
      </c>
      <c r="F211" s="22">
        <v>2023</v>
      </c>
      <c r="G211" s="22">
        <v>6</v>
      </c>
      <c r="H211" s="22" t="s">
        <v>322</v>
      </c>
      <c r="I211" s="258">
        <v>45608</v>
      </c>
      <c r="J211" s="262">
        <v>16</v>
      </c>
      <c r="K211" s="306">
        <f>1851*20*26</f>
        <v>962520</v>
      </c>
      <c r="L211" s="259">
        <f t="shared" si="8"/>
        <v>962520</v>
      </c>
      <c r="M211" s="259">
        <v>1000000</v>
      </c>
      <c r="N211" s="22" t="s">
        <v>298</v>
      </c>
      <c r="O211" s="258">
        <v>45087</v>
      </c>
      <c r="P211" s="261">
        <v>368600</v>
      </c>
      <c r="Q211" s="22">
        <v>1</v>
      </c>
      <c r="R211" s="425">
        <f t="shared" si="9"/>
        <v>368600</v>
      </c>
      <c r="S211" s="22" t="s">
        <v>316</v>
      </c>
      <c r="T211" s="22" t="s">
        <v>317</v>
      </c>
      <c r="U211" s="22" t="s">
        <v>318</v>
      </c>
      <c r="V211" s="22"/>
      <c r="W211" s="428"/>
    </row>
    <row r="212" spans="1:23" s="301" customFormat="1" ht="14.45" customHeight="1">
      <c r="A212" s="272" t="s">
        <v>359</v>
      </c>
      <c r="B212" s="22" t="str">
        <f>VLOOKUP(A212,[1]Sheet1!$A:$B,2,0)</f>
        <v>HP</v>
      </c>
      <c r="C212" s="272" t="s">
        <v>361</v>
      </c>
      <c r="D212" s="44">
        <v>620202009</v>
      </c>
      <c r="E212" s="22" t="s">
        <v>74</v>
      </c>
      <c r="F212" s="22">
        <v>2023</v>
      </c>
      <c r="G212" s="22">
        <v>6</v>
      </c>
      <c r="H212" s="22" t="s">
        <v>322</v>
      </c>
      <c r="I212" s="258">
        <v>45608</v>
      </c>
      <c r="J212" s="262">
        <v>16</v>
      </c>
      <c r="K212" s="306">
        <f>1688*20*26</f>
        <v>877760</v>
      </c>
      <c r="L212" s="259">
        <f t="shared" si="8"/>
        <v>877760</v>
      </c>
      <c r="M212" s="259">
        <v>1000000</v>
      </c>
      <c r="N212" s="22" t="s">
        <v>298</v>
      </c>
      <c r="O212" s="258">
        <v>45087</v>
      </c>
      <c r="P212" s="261">
        <v>404300</v>
      </c>
      <c r="Q212" s="22">
        <v>1</v>
      </c>
      <c r="R212" s="425">
        <f t="shared" si="9"/>
        <v>404300</v>
      </c>
      <c r="S212" s="22" t="s">
        <v>316</v>
      </c>
      <c r="T212" s="22" t="s">
        <v>317</v>
      </c>
      <c r="U212" s="22" t="s">
        <v>318</v>
      </c>
      <c r="V212" s="22"/>
      <c r="W212" s="428"/>
    </row>
    <row r="213" spans="1:23" s="301" customFormat="1" ht="14.45" customHeight="1">
      <c r="A213" s="272" t="s">
        <v>359</v>
      </c>
      <c r="B213" s="22" t="str">
        <f>VLOOKUP(A213,[1]Sheet1!$A:$B,2,0)</f>
        <v>HP</v>
      </c>
      <c r="C213" s="272" t="s">
        <v>362</v>
      </c>
      <c r="D213" s="44">
        <v>620202004</v>
      </c>
      <c r="E213" s="22" t="s">
        <v>74</v>
      </c>
      <c r="F213" s="22">
        <v>2023</v>
      </c>
      <c r="G213" s="22">
        <v>6</v>
      </c>
      <c r="H213" s="22" t="s">
        <v>322</v>
      </c>
      <c r="I213" s="258">
        <v>45608</v>
      </c>
      <c r="J213" s="262">
        <v>4</v>
      </c>
      <c r="K213" s="306">
        <f>390*20*26</f>
        <v>202800</v>
      </c>
      <c r="L213" s="259">
        <f t="shared" si="8"/>
        <v>202800</v>
      </c>
      <c r="M213" s="259">
        <v>1000000</v>
      </c>
      <c r="N213" s="22" t="s">
        <v>298</v>
      </c>
      <c r="O213" s="258">
        <v>45087</v>
      </c>
      <c r="P213" s="261">
        <v>290850</v>
      </c>
      <c r="Q213" s="22">
        <v>1</v>
      </c>
      <c r="R213" s="425">
        <f t="shared" si="9"/>
        <v>290850</v>
      </c>
      <c r="S213" s="22" t="s">
        <v>316</v>
      </c>
      <c r="T213" s="22" t="s">
        <v>317</v>
      </c>
      <c r="U213" s="22" t="s">
        <v>318</v>
      </c>
      <c r="V213" s="22"/>
      <c r="W213" s="428"/>
    </row>
    <row r="214" spans="1:23" s="301" customFormat="1" ht="14.45" customHeight="1">
      <c r="A214" s="272" t="s">
        <v>359</v>
      </c>
      <c r="B214" s="22" t="str">
        <f>VLOOKUP(A214,[1]Sheet1!$A:$B,2,0)</f>
        <v>HP</v>
      </c>
      <c r="C214" s="272" t="s">
        <v>363</v>
      </c>
      <c r="D214" s="44">
        <v>610202008</v>
      </c>
      <c r="E214" s="22" t="s">
        <v>74</v>
      </c>
      <c r="F214" s="22">
        <v>2023</v>
      </c>
      <c r="G214" s="22">
        <v>6</v>
      </c>
      <c r="H214" s="22" t="s">
        <v>322</v>
      </c>
      <c r="I214" s="258">
        <v>45608</v>
      </c>
      <c r="J214" s="262" t="s">
        <v>364</v>
      </c>
      <c r="K214" s="306">
        <f>177*20*26</f>
        <v>92040</v>
      </c>
      <c r="L214" s="259">
        <f t="shared" si="8"/>
        <v>92040</v>
      </c>
      <c r="M214" s="259">
        <v>1000000</v>
      </c>
      <c r="N214" s="22" t="s">
        <v>298</v>
      </c>
      <c r="O214" s="258">
        <v>45087</v>
      </c>
      <c r="P214" s="261">
        <v>579000</v>
      </c>
      <c r="Q214" s="22">
        <v>1</v>
      </c>
      <c r="R214" s="425">
        <f t="shared" si="9"/>
        <v>579000</v>
      </c>
      <c r="S214" s="22" t="s">
        <v>316</v>
      </c>
      <c r="T214" s="22" t="s">
        <v>317</v>
      </c>
      <c r="U214" s="22" t="s">
        <v>318</v>
      </c>
      <c r="V214" s="22"/>
      <c r="W214" s="428"/>
    </row>
    <row r="215" spans="1:23" s="301" customFormat="1" ht="14.45" customHeight="1">
      <c r="A215" s="272" t="s">
        <v>359</v>
      </c>
      <c r="B215" s="22" t="str">
        <f>VLOOKUP(A215,[1]Sheet1!$A:$B,2,0)</f>
        <v>HP</v>
      </c>
      <c r="C215" s="272" t="s">
        <v>365</v>
      </c>
      <c r="D215" s="44">
        <v>610202015</v>
      </c>
      <c r="E215" s="22" t="s">
        <v>74</v>
      </c>
      <c r="F215" s="22">
        <v>2023</v>
      </c>
      <c r="G215" s="22">
        <v>6</v>
      </c>
      <c r="H215" s="22" t="s">
        <v>322</v>
      </c>
      <c r="I215" s="258">
        <v>45608</v>
      </c>
      <c r="J215" s="262" t="s">
        <v>364</v>
      </c>
      <c r="K215" s="306">
        <f>382*20*26</f>
        <v>198640</v>
      </c>
      <c r="L215" s="259">
        <f t="shared" si="8"/>
        <v>198640</v>
      </c>
      <c r="M215" s="259">
        <v>1000000</v>
      </c>
      <c r="N215" s="22" t="s">
        <v>298</v>
      </c>
      <c r="O215" s="258">
        <v>45087</v>
      </c>
      <c r="P215" s="261">
        <v>291900</v>
      </c>
      <c r="Q215" s="22">
        <v>1</v>
      </c>
      <c r="R215" s="425">
        <f t="shared" si="9"/>
        <v>291900</v>
      </c>
      <c r="S215" s="22" t="s">
        <v>316</v>
      </c>
      <c r="T215" s="22" t="s">
        <v>317</v>
      </c>
      <c r="U215" s="22" t="s">
        <v>318</v>
      </c>
      <c r="V215" s="22"/>
      <c r="W215" s="428"/>
    </row>
    <row r="216" spans="1:23" s="301" customFormat="1" ht="14.45" customHeight="1">
      <c r="A216" s="272" t="s">
        <v>359</v>
      </c>
      <c r="B216" s="22" t="str">
        <f>VLOOKUP(A216,[1]Sheet1!$A:$B,2,0)</f>
        <v>HP</v>
      </c>
      <c r="C216" s="272" t="s">
        <v>366</v>
      </c>
      <c r="D216" s="44">
        <v>610202026</v>
      </c>
      <c r="E216" s="22" t="s">
        <v>74</v>
      </c>
      <c r="F216" s="22">
        <v>2023</v>
      </c>
      <c r="G216" s="22">
        <v>6</v>
      </c>
      <c r="H216" s="22" t="s">
        <v>322</v>
      </c>
      <c r="I216" s="258">
        <v>45608</v>
      </c>
      <c r="J216" s="262">
        <v>16</v>
      </c>
      <c r="K216" s="306">
        <f>633*20*26</f>
        <v>329160</v>
      </c>
      <c r="L216" s="259">
        <f t="shared" si="8"/>
        <v>329160</v>
      </c>
      <c r="M216" s="259">
        <v>1000000</v>
      </c>
      <c r="N216" s="22" t="s">
        <v>298</v>
      </c>
      <c r="O216" s="258">
        <v>45087</v>
      </c>
      <c r="P216" s="261">
        <v>257400</v>
      </c>
      <c r="Q216" s="22">
        <v>1</v>
      </c>
      <c r="R216" s="425">
        <f t="shared" si="9"/>
        <v>257400</v>
      </c>
      <c r="S216" s="22" t="s">
        <v>316</v>
      </c>
      <c r="T216" s="22" t="s">
        <v>317</v>
      </c>
      <c r="U216" s="22" t="s">
        <v>318</v>
      </c>
      <c r="V216" s="22"/>
      <c r="W216" s="428"/>
    </row>
    <row r="217" spans="1:23" s="301" customFormat="1" ht="14.45" customHeight="1">
      <c r="A217" s="272" t="s">
        <v>359</v>
      </c>
      <c r="B217" s="22" t="str">
        <f>VLOOKUP(A217,[1]Sheet1!$A:$B,2,0)</f>
        <v>HP</v>
      </c>
      <c r="C217" s="272" t="s">
        <v>367</v>
      </c>
      <c r="D217" s="44">
        <v>610202005</v>
      </c>
      <c r="E217" s="22" t="s">
        <v>74</v>
      </c>
      <c r="F217" s="22">
        <v>2023</v>
      </c>
      <c r="G217" s="22">
        <v>6</v>
      </c>
      <c r="H217" s="22" t="s">
        <v>322</v>
      </c>
      <c r="I217" s="258">
        <v>45608</v>
      </c>
      <c r="J217" s="262">
        <v>4</v>
      </c>
      <c r="K217" s="306">
        <f>217*20*26</f>
        <v>112840</v>
      </c>
      <c r="L217" s="259">
        <f t="shared" si="8"/>
        <v>112840</v>
      </c>
      <c r="M217" s="259">
        <v>1000000</v>
      </c>
      <c r="N217" s="22" t="s">
        <v>298</v>
      </c>
      <c r="O217" s="258">
        <v>45087</v>
      </c>
      <c r="P217" s="261">
        <v>516000</v>
      </c>
      <c r="Q217" s="22">
        <v>1</v>
      </c>
      <c r="R217" s="425">
        <f t="shared" si="9"/>
        <v>516000</v>
      </c>
      <c r="S217" s="22" t="s">
        <v>316</v>
      </c>
      <c r="T217" s="22" t="s">
        <v>317</v>
      </c>
      <c r="U217" s="22" t="s">
        <v>318</v>
      </c>
      <c r="V217" s="22"/>
      <c r="W217" s="428"/>
    </row>
    <row r="218" spans="1:23" s="301" customFormat="1" ht="14.45" customHeight="1">
      <c r="A218" s="272" t="s">
        <v>359</v>
      </c>
      <c r="B218" s="22" t="str">
        <f>VLOOKUP(A218,[1]Sheet1!$A:$B,2,0)</f>
        <v>HP</v>
      </c>
      <c r="C218" s="272" t="s">
        <v>368</v>
      </c>
      <c r="D218" s="44">
        <v>610202018</v>
      </c>
      <c r="E218" s="22" t="s">
        <v>74</v>
      </c>
      <c r="F218" s="22">
        <v>2023</v>
      </c>
      <c r="G218" s="22">
        <v>6</v>
      </c>
      <c r="H218" s="22" t="s">
        <v>322</v>
      </c>
      <c r="I218" s="258">
        <v>45608</v>
      </c>
      <c r="J218" s="262">
        <v>16</v>
      </c>
      <c r="K218" s="306">
        <f>693*20*26</f>
        <v>360360</v>
      </c>
      <c r="L218" s="259">
        <f t="shared" si="8"/>
        <v>360360</v>
      </c>
      <c r="M218" s="259">
        <v>1000000</v>
      </c>
      <c r="N218" s="22" t="s">
        <v>298</v>
      </c>
      <c r="O218" s="258">
        <v>45087</v>
      </c>
      <c r="P218" s="261">
        <v>395000</v>
      </c>
      <c r="Q218" s="22">
        <v>1</v>
      </c>
      <c r="R218" s="425">
        <f t="shared" ref="R218" si="11">P218*Q218</f>
        <v>395000</v>
      </c>
      <c r="S218" s="22" t="s">
        <v>316</v>
      </c>
      <c r="T218" s="22" t="s">
        <v>317</v>
      </c>
      <c r="U218" s="22" t="s">
        <v>318</v>
      </c>
      <c r="V218" s="22"/>
      <c r="W218" s="428"/>
    </row>
    <row r="219" spans="1:23" s="301" customFormat="1" ht="14.45" customHeight="1">
      <c r="A219" s="272" t="s">
        <v>359</v>
      </c>
      <c r="B219" s="22" t="str">
        <f>VLOOKUP(A219,[1]Sheet1!$A:$B,2,0)</f>
        <v>HP</v>
      </c>
      <c r="C219" s="272" t="s">
        <v>323</v>
      </c>
      <c r="D219" s="44">
        <v>610202016</v>
      </c>
      <c r="E219" s="22" t="s">
        <v>74</v>
      </c>
      <c r="F219" s="22">
        <v>2023</v>
      </c>
      <c r="G219" s="22">
        <v>6</v>
      </c>
      <c r="H219" s="22" t="s">
        <v>322</v>
      </c>
      <c r="I219" s="258">
        <v>45608</v>
      </c>
      <c r="J219" s="262">
        <v>16</v>
      </c>
      <c r="K219" s="306">
        <f>1862*20*26</f>
        <v>968240</v>
      </c>
      <c r="L219" s="259">
        <f t="shared" si="8"/>
        <v>968240</v>
      </c>
      <c r="M219" s="259">
        <v>1000000</v>
      </c>
      <c r="N219" s="22" t="s">
        <v>298</v>
      </c>
      <c r="O219" s="258">
        <v>45087</v>
      </c>
      <c r="P219" s="261">
        <v>272800</v>
      </c>
      <c r="Q219" s="22">
        <v>1</v>
      </c>
      <c r="R219" s="425">
        <f t="shared" ref="R219" si="12">P219*Q219</f>
        <v>272800</v>
      </c>
      <c r="S219" s="22" t="s">
        <v>316</v>
      </c>
      <c r="T219" s="22" t="s">
        <v>317</v>
      </c>
      <c r="U219" s="22" t="s">
        <v>318</v>
      </c>
      <c r="V219" s="22"/>
      <c r="W219" s="428"/>
    </row>
    <row r="220" spans="1:23" s="301" customFormat="1" ht="14.45" customHeight="1">
      <c r="A220" s="272" t="s">
        <v>359</v>
      </c>
      <c r="B220" s="22" t="str">
        <f>VLOOKUP(A220,[1]Sheet1!$A:$B,2,0)</f>
        <v>HP</v>
      </c>
      <c r="C220" s="272" t="s">
        <v>369</v>
      </c>
      <c r="D220" s="44">
        <v>610202027</v>
      </c>
      <c r="E220" s="22" t="s">
        <v>74</v>
      </c>
      <c r="F220" s="22">
        <v>2023</v>
      </c>
      <c r="G220" s="22">
        <v>6</v>
      </c>
      <c r="H220" s="22" t="s">
        <v>322</v>
      </c>
      <c r="I220" s="258">
        <v>45608</v>
      </c>
      <c r="J220" s="262" t="s">
        <v>364</v>
      </c>
      <c r="K220" s="306">
        <f>739*20*26</f>
        <v>384280</v>
      </c>
      <c r="L220" s="259">
        <f t="shared" si="8"/>
        <v>384280</v>
      </c>
      <c r="M220" s="259">
        <v>1000000</v>
      </c>
      <c r="N220" s="22" t="s">
        <v>298</v>
      </c>
      <c r="O220" s="258">
        <v>45087</v>
      </c>
      <c r="P220" s="261">
        <v>304700</v>
      </c>
      <c r="Q220" s="22">
        <v>1</v>
      </c>
      <c r="R220" s="425">
        <f t="shared" si="9"/>
        <v>304700</v>
      </c>
      <c r="S220" s="22" t="s">
        <v>316</v>
      </c>
      <c r="T220" s="22" t="s">
        <v>317</v>
      </c>
      <c r="U220" s="22" t="s">
        <v>318</v>
      </c>
      <c r="V220" s="22"/>
      <c r="W220" s="428"/>
    </row>
    <row r="221" spans="1:23" s="301" customFormat="1" ht="14.45" customHeight="1">
      <c r="A221" s="272" t="s">
        <v>359</v>
      </c>
      <c r="B221" s="22" t="str">
        <f>VLOOKUP(A221,[1]Sheet1!$A:$B,2,0)</f>
        <v>HP</v>
      </c>
      <c r="C221" s="272" t="s">
        <v>370</v>
      </c>
      <c r="D221" s="44">
        <v>610202021</v>
      </c>
      <c r="E221" s="22" t="s">
        <v>74</v>
      </c>
      <c r="F221" s="22">
        <v>2023</v>
      </c>
      <c r="G221" s="22">
        <v>6</v>
      </c>
      <c r="H221" s="22" t="s">
        <v>322</v>
      </c>
      <c r="I221" s="258">
        <v>45608</v>
      </c>
      <c r="J221" s="262">
        <v>16</v>
      </c>
      <c r="K221" s="306">
        <f>1862*20*26</f>
        <v>968240</v>
      </c>
      <c r="L221" s="259">
        <f t="shared" si="8"/>
        <v>968240</v>
      </c>
      <c r="M221" s="259">
        <v>1000000</v>
      </c>
      <c r="N221" s="22" t="s">
        <v>298</v>
      </c>
      <c r="O221" s="258">
        <v>45087</v>
      </c>
      <c r="P221" s="261">
        <v>282700</v>
      </c>
      <c r="Q221" s="22">
        <v>1</v>
      </c>
      <c r="R221" s="425">
        <f t="shared" si="9"/>
        <v>282700</v>
      </c>
      <c r="S221" s="22" t="s">
        <v>316</v>
      </c>
      <c r="T221" s="22" t="s">
        <v>317</v>
      </c>
      <c r="U221" s="22" t="s">
        <v>318</v>
      </c>
      <c r="V221" s="22"/>
      <c r="W221" s="428"/>
    </row>
    <row r="222" spans="1:23" s="301" customFormat="1" ht="14.45" customHeight="1">
      <c r="A222" s="272" t="s">
        <v>359</v>
      </c>
      <c r="B222" s="22" t="str">
        <f>VLOOKUP(A222,[1]Sheet1!$A:$B,2,0)</f>
        <v>HP</v>
      </c>
      <c r="C222" s="272" t="s">
        <v>371</v>
      </c>
      <c r="D222" s="44">
        <v>610202032</v>
      </c>
      <c r="E222" s="22" t="s">
        <v>74</v>
      </c>
      <c r="F222" s="22">
        <v>2023</v>
      </c>
      <c r="G222" s="22">
        <v>6</v>
      </c>
      <c r="H222" s="22" t="s">
        <v>322</v>
      </c>
      <c r="I222" s="258">
        <v>45608</v>
      </c>
      <c r="J222" s="262">
        <v>8</v>
      </c>
      <c r="K222" s="306">
        <f>570*20*26</f>
        <v>296400</v>
      </c>
      <c r="L222" s="259">
        <f t="shared" si="8"/>
        <v>296400</v>
      </c>
      <c r="M222" s="259">
        <v>1000000</v>
      </c>
      <c r="N222" s="22" t="s">
        <v>298</v>
      </c>
      <c r="O222" s="258">
        <v>45087</v>
      </c>
      <c r="P222" s="261">
        <v>421300</v>
      </c>
      <c r="Q222" s="22">
        <v>1</v>
      </c>
      <c r="R222" s="425">
        <f t="shared" si="9"/>
        <v>421300</v>
      </c>
      <c r="S222" s="22" t="s">
        <v>316</v>
      </c>
      <c r="T222" s="22" t="s">
        <v>317</v>
      </c>
      <c r="U222" s="22" t="s">
        <v>318</v>
      </c>
      <c r="V222" s="22"/>
      <c r="W222" s="428"/>
    </row>
    <row r="223" spans="1:23" s="301" customFormat="1" ht="14.45" customHeight="1">
      <c r="A223" s="272" t="s">
        <v>359</v>
      </c>
      <c r="B223" s="22" t="str">
        <f>VLOOKUP(A223,[1]Sheet1!$A:$B,2,0)</f>
        <v>HP</v>
      </c>
      <c r="C223" s="272" t="s">
        <v>360</v>
      </c>
      <c r="D223" s="44">
        <v>620202001</v>
      </c>
      <c r="E223" s="22" t="s">
        <v>74</v>
      </c>
      <c r="F223" s="22">
        <v>2023</v>
      </c>
      <c r="G223" s="22">
        <v>4</v>
      </c>
      <c r="H223" s="22" t="s">
        <v>315</v>
      </c>
      <c r="I223" s="258">
        <v>45608</v>
      </c>
      <c r="J223" s="262">
        <v>2</v>
      </c>
      <c r="K223" s="306">
        <f>1851*20*26</f>
        <v>962520</v>
      </c>
      <c r="L223" s="259">
        <f t="shared" si="8"/>
        <v>962520</v>
      </c>
      <c r="M223" s="259">
        <v>50000</v>
      </c>
      <c r="N223" s="22" t="s">
        <v>296</v>
      </c>
      <c r="O223" s="258">
        <v>45022</v>
      </c>
      <c r="P223" s="261">
        <v>64050</v>
      </c>
      <c r="Q223" s="22">
        <v>1</v>
      </c>
      <c r="R223" s="425">
        <f t="shared" si="9"/>
        <v>64050</v>
      </c>
      <c r="S223" s="22" t="s">
        <v>316</v>
      </c>
      <c r="T223" s="22" t="s">
        <v>317</v>
      </c>
      <c r="U223" s="22" t="s">
        <v>318</v>
      </c>
      <c r="V223" s="22"/>
      <c r="W223" s="428"/>
    </row>
    <row r="224" spans="1:23" s="301" customFormat="1" ht="14.45" customHeight="1">
      <c r="A224" s="272" t="s">
        <v>359</v>
      </c>
      <c r="B224" s="22" t="str">
        <f>VLOOKUP(A224,[1]Sheet1!$A:$B,2,0)</f>
        <v>HP</v>
      </c>
      <c r="C224" s="272" t="s">
        <v>362</v>
      </c>
      <c r="D224" s="44">
        <v>620202004</v>
      </c>
      <c r="E224" s="22" t="s">
        <v>74</v>
      </c>
      <c r="F224" s="22">
        <v>2023</v>
      </c>
      <c r="G224" s="22">
        <v>4</v>
      </c>
      <c r="H224" s="22" t="s">
        <v>315</v>
      </c>
      <c r="I224" s="258">
        <v>45608</v>
      </c>
      <c r="J224" s="262">
        <v>2</v>
      </c>
      <c r="K224" s="306">
        <f>390*20*26</f>
        <v>202800</v>
      </c>
      <c r="L224" s="259">
        <f t="shared" si="8"/>
        <v>202800</v>
      </c>
      <c r="M224" s="259">
        <v>50000</v>
      </c>
      <c r="N224" s="22" t="s">
        <v>296</v>
      </c>
      <c r="O224" s="258">
        <v>45022</v>
      </c>
      <c r="P224" s="261">
        <v>40280</v>
      </c>
      <c r="Q224" s="22">
        <v>1</v>
      </c>
      <c r="R224" s="425">
        <f t="shared" si="9"/>
        <v>40280</v>
      </c>
      <c r="S224" s="22" t="s">
        <v>316</v>
      </c>
      <c r="T224" s="22" t="s">
        <v>317</v>
      </c>
      <c r="U224" s="22" t="s">
        <v>318</v>
      </c>
      <c r="V224" s="22"/>
      <c r="W224" s="428"/>
    </row>
    <row r="225" spans="1:23" s="301" customFormat="1" ht="14.45" customHeight="1">
      <c r="A225" s="272" t="s">
        <v>359</v>
      </c>
      <c r="B225" s="22" t="str">
        <f>VLOOKUP(A225,[1]Sheet1!$A:$B,2,0)</f>
        <v>HP</v>
      </c>
      <c r="C225" s="272" t="s">
        <v>371</v>
      </c>
      <c r="D225" s="44">
        <v>610202032</v>
      </c>
      <c r="E225" s="22" t="s">
        <v>74</v>
      </c>
      <c r="F225" s="22">
        <v>2023</v>
      </c>
      <c r="G225" s="22">
        <v>4</v>
      </c>
      <c r="H225" s="22" t="s">
        <v>315</v>
      </c>
      <c r="I225" s="258">
        <v>45608</v>
      </c>
      <c r="J225" s="262">
        <v>2</v>
      </c>
      <c r="K225" s="306">
        <f>570*20*26</f>
        <v>296400</v>
      </c>
      <c r="L225" s="259">
        <f t="shared" si="8"/>
        <v>296400</v>
      </c>
      <c r="M225" s="259">
        <v>50000</v>
      </c>
      <c r="N225" s="22" t="s">
        <v>296</v>
      </c>
      <c r="O225" s="258">
        <v>45022</v>
      </c>
      <c r="P225" s="261">
        <v>73960</v>
      </c>
      <c r="Q225" s="22">
        <v>1</v>
      </c>
      <c r="R225" s="425">
        <f t="shared" ref="R225:R227" si="13">P225*Q225</f>
        <v>73960</v>
      </c>
      <c r="S225" s="22" t="s">
        <v>316</v>
      </c>
      <c r="T225" s="22" t="s">
        <v>317</v>
      </c>
      <c r="U225" s="22" t="s">
        <v>318</v>
      </c>
      <c r="V225" s="22"/>
      <c r="W225" s="428"/>
    </row>
    <row r="226" spans="1:23" s="301" customFormat="1" ht="14.45" customHeight="1">
      <c r="A226" s="272" t="s">
        <v>359</v>
      </c>
      <c r="B226" s="22" t="str">
        <f>VLOOKUP(A226,[1]Sheet1!$A:$B,2,0)</f>
        <v>HP</v>
      </c>
      <c r="C226" s="272" t="s">
        <v>368</v>
      </c>
      <c r="D226" s="44">
        <v>610202018</v>
      </c>
      <c r="E226" s="22" t="s">
        <v>74</v>
      </c>
      <c r="F226" s="22">
        <v>2023</v>
      </c>
      <c r="G226" s="22">
        <v>4</v>
      </c>
      <c r="H226" s="22" t="s">
        <v>315</v>
      </c>
      <c r="I226" s="258">
        <v>45608</v>
      </c>
      <c r="J226" s="262">
        <v>2</v>
      </c>
      <c r="K226" s="306">
        <f>693*20*26</f>
        <v>360360</v>
      </c>
      <c r="L226" s="259">
        <f t="shared" si="8"/>
        <v>360360</v>
      </c>
      <c r="M226" s="259">
        <v>50000</v>
      </c>
      <c r="N226" s="22" t="s">
        <v>296</v>
      </c>
      <c r="O226" s="258">
        <v>45022</v>
      </c>
      <c r="P226" s="261">
        <v>27230</v>
      </c>
      <c r="Q226" s="22">
        <v>1</v>
      </c>
      <c r="R226" s="425">
        <f t="shared" si="13"/>
        <v>27230</v>
      </c>
      <c r="S226" s="22" t="s">
        <v>316</v>
      </c>
      <c r="T226" s="22" t="s">
        <v>317</v>
      </c>
      <c r="U226" s="22" t="s">
        <v>318</v>
      </c>
      <c r="V226" s="22"/>
      <c r="W226" s="428"/>
    </row>
    <row r="227" spans="1:23" s="301" customFormat="1" ht="14.45" customHeight="1">
      <c r="A227" s="272" t="s">
        <v>359</v>
      </c>
      <c r="B227" s="22" t="str">
        <f>VLOOKUP(A227,[1]Sheet1!$A:$B,2,0)</f>
        <v>HP</v>
      </c>
      <c r="C227" s="272" t="s">
        <v>360</v>
      </c>
      <c r="D227" s="44">
        <v>620202001</v>
      </c>
      <c r="E227" s="22" t="s">
        <v>74</v>
      </c>
      <c r="F227" s="22">
        <v>2023</v>
      </c>
      <c r="G227" s="22">
        <v>5</v>
      </c>
      <c r="H227" s="22" t="s">
        <v>315</v>
      </c>
      <c r="I227" s="258">
        <v>45608</v>
      </c>
      <c r="J227" s="262">
        <v>2</v>
      </c>
      <c r="K227" s="306">
        <f>1851*20*26</f>
        <v>962520</v>
      </c>
      <c r="L227" s="259">
        <f t="shared" si="8"/>
        <v>962520</v>
      </c>
      <c r="M227" s="259">
        <v>50000</v>
      </c>
      <c r="N227" s="22" t="s">
        <v>296</v>
      </c>
      <c r="O227" s="258">
        <v>45048</v>
      </c>
      <c r="P227" s="261">
        <v>16950</v>
      </c>
      <c r="Q227" s="22">
        <v>1</v>
      </c>
      <c r="R227" s="425">
        <f t="shared" si="13"/>
        <v>16950</v>
      </c>
      <c r="S227" s="22" t="s">
        <v>316</v>
      </c>
      <c r="T227" s="22" t="s">
        <v>317</v>
      </c>
      <c r="U227" s="22" t="s">
        <v>318</v>
      </c>
      <c r="V227" s="22"/>
      <c r="W227" s="428"/>
    </row>
    <row r="228" spans="1:23" s="301" customFormat="1" ht="14.45" customHeight="1">
      <c r="A228" s="272" t="s">
        <v>359</v>
      </c>
      <c r="B228" s="22" t="str">
        <f>VLOOKUP(A228,[1]Sheet1!$A:$B,2,0)</f>
        <v>HP</v>
      </c>
      <c r="C228" s="272" t="s">
        <v>368</v>
      </c>
      <c r="D228" s="44">
        <v>610202018</v>
      </c>
      <c r="E228" s="22" t="s">
        <v>74</v>
      </c>
      <c r="F228" s="22">
        <v>2023</v>
      </c>
      <c r="G228" s="22">
        <v>5</v>
      </c>
      <c r="H228" s="22" t="s">
        <v>315</v>
      </c>
      <c r="I228" s="258">
        <v>45608</v>
      </c>
      <c r="J228" s="262">
        <v>2</v>
      </c>
      <c r="K228" s="306">
        <f>693*20*26</f>
        <v>360360</v>
      </c>
      <c r="L228" s="259">
        <f t="shared" si="8"/>
        <v>360360</v>
      </c>
      <c r="M228" s="259">
        <v>50000</v>
      </c>
      <c r="N228" s="22" t="s">
        <v>296</v>
      </c>
      <c r="O228" s="258">
        <v>45048</v>
      </c>
      <c r="P228" s="261">
        <v>4500</v>
      </c>
      <c r="Q228" s="22">
        <v>1</v>
      </c>
      <c r="R228" s="425">
        <f t="shared" si="9"/>
        <v>4500</v>
      </c>
      <c r="S228" s="22" t="s">
        <v>316</v>
      </c>
      <c r="T228" s="22" t="s">
        <v>317</v>
      </c>
      <c r="U228" s="22" t="s">
        <v>318</v>
      </c>
      <c r="V228" s="22"/>
      <c r="W228" s="428"/>
    </row>
    <row r="229" spans="1:23" s="301" customFormat="1" ht="14.45" customHeight="1">
      <c r="A229" s="272" t="s">
        <v>359</v>
      </c>
      <c r="B229" s="22" t="str">
        <f>VLOOKUP(A229,[1]Sheet1!$A:$B,2,0)</f>
        <v>HP</v>
      </c>
      <c r="C229" s="272" t="s">
        <v>365</v>
      </c>
      <c r="D229" s="44">
        <v>610202015</v>
      </c>
      <c r="E229" s="22" t="s">
        <v>74</v>
      </c>
      <c r="F229" s="22">
        <v>2023</v>
      </c>
      <c r="G229" s="22">
        <v>5</v>
      </c>
      <c r="H229" s="22" t="s">
        <v>315</v>
      </c>
      <c r="I229" s="258">
        <v>45608</v>
      </c>
      <c r="J229" s="262">
        <v>2</v>
      </c>
      <c r="K229" s="306">
        <f>382*20*26</f>
        <v>198640</v>
      </c>
      <c r="L229" s="259">
        <f t="shared" si="8"/>
        <v>198640</v>
      </c>
      <c r="M229" s="259">
        <v>50000</v>
      </c>
      <c r="N229" s="22" t="s">
        <v>296</v>
      </c>
      <c r="O229" s="258">
        <v>45048</v>
      </c>
      <c r="P229" s="261">
        <v>4000</v>
      </c>
      <c r="Q229" s="22">
        <v>1</v>
      </c>
      <c r="R229" s="425">
        <f t="shared" si="9"/>
        <v>4000</v>
      </c>
      <c r="S229" s="22" t="s">
        <v>316</v>
      </c>
      <c r="T229" s="22" t="s">
        <v>317</v>
      </c>
      <c r="U229" s="22" t="s">
        <v>318</v>
      </c>
      <c r="V229" s="22"/>
      <c r="W229" s="428"/>
    </row>
    <row r="230" spans="1:23" s="301" customFormat="1" ht="14.45" customHeight="1">
      <c r="A230" s="272" t="s">
        <v>359</v>
      </c>
      <c r="B230" s="22" t="str">
        <f>VLOOKUP(A230,[1]Sheet1!$A:$B,2,0)</f>
        <v>HP</v>
      </c>
      <c r="C230" s="272" t="s">
        <v>370</v>
      </c>
      <c r="D230" s="44">
        <v>610202021</v>
      </c>
      <c r="E230" s="22" t="s">
        <v>74</v>
      </c>
      <c r="F230" s="22">
        <v>2023</v>
      </c>
      <c r="G230" s="22">
        <v>5</v>
      </c>
      <c r="H230" s="22" t="s">
        <v>315</v>
      </c>
      <c r="I230" s="258">
        <v>45608</v>
      </c>
      <c r="J230" s="262">
        <v>2</v>
      </c>
      <c r="K230" s="306">
        <f>1862*20*26</f>
        <v>968240</v>
      </c>
      <c r="L230" s="259">
        <f t="shared" si="8"/>
        <v>968240</v>
      </c>
      <c r="M230" s="259">
        <v>50000</v>
      </c>
      <c r="N230" s="22" t="s">
        <v>296</v>
      </c>
      <c r="O230" s="258">
        <v>45048</v>
      </c>
      <c r="P230" s="261">
        <v>5300</v>
      </c>
      <c r="Q230" s="22">
        <v>1</v>
      </c>
      <c r="R230" s="425">
        <f t="shared" si="9"/>
        <v>5300</v>
      </c>
      <c r="S230" s="22" t="s">
        <v>316</v>
      </c>
      <c r="T230" s="22" t="s">
        <v>317</v>
      </c>
      <c r="U230" s="22" t="s">
        <v>318</v>
      </c>
      <c r="V230" s="22"/>
      <c r="W230" s="428"/>
    </row>
    <row r="231" spans="1:23" s="301" customFormat="1" ht="14.45" customHeight="1">
      <c r="A231" s="272" t="s">
        <v>359</v>
      </c>
      <c r="B231" s="22" t="str">
        <f>VLOOKUP(A231,[1]Sheet1!$A:$B,2,0)</f>
        <v>HP</v>
      </c>
      <c r="C231" s="272" t="s">
        <v>360</v>
      </c>
      <c r="D231" s="44">
        <v>620202001</v>
      </c>
      <c r="E231" s="22" t="s">
        <v>74</v>
      </c>
      <c r="F231" s="22">
        <v>2023</v>
      </c>
      <c r="G231" s="22">
        <v>6</v>
      </c>
      <c r="H231" s="22" t="s">
        <v>315</v>
      </c>
      <c r="I231" s="258">
        <v>45608</v>
      </c>
      <c r="J231" s="262">
        <v>2</v>
      </c>
      <c r="K231" s="306">
        <f>1851*20*26</f>
        <v>962520</v>
      </c>
      <c r="L231" s="259">
        <f t="shared" si="8"/>
        <v>962520</v>
      </c>
      <c r="M231" s="259">
        <v>50000</v>
      </c>
      <c r="N231" s="22" t="s">
        <v>296</v>
      </c>
      <c r="O231" s="258">
        <v>45083</v>
      </c>
      <c r="P231" s="261">
        <v>20400</v>
      </c>
      <c r="Q231" s="22">
        <v>1</v>
      </c>
      <c r="R231" s="425">
        <f t="shared" si="9"/>
        <v>20400</v>
      </c>
      <c r="S231" s="22" t="s">
        <v>316</v>
      </c>
      <c r="T231" s="22" t="s">
        <v>317</v>
      </c>
      <c r="U231" s="22" t="s">
        <v>318</v>
      </c>
      <c r="V231" s="22"/>
      <c r="W231" s="428"/>
    </row>
    <row r="232" spans="1:23" s="301" customFormat="1" ht="14.45" customHeight="1">
      <c r="A232" s="272" t="s">
        <v>359</v>
      </c>
      <c r="B232" s="22" t="str">
        <f>VLOOKUP(A232,[1]Sheet1!$A:$B,2,0)</f>
        <v>HP</v>
      </c>
      <c r="C232" s="272" t="s">
        <v>368</v>
      </c>
      <c r="D232" s="44">
        <v>610202018</v>
      </c>
      <c r="E232" s="22" t="s">
        <v>74</v>
      </c>
      <c r="F232" s="22">
        <v>2023</v>
      </c>
      <c r="G232" s="22">
        <v>6</v>
      </c>
      <c r="H232" s="22" t="s">
        <v>315</v>
      </c>
      <c r="I232" s="258">
        <v>45608</v>
      </c>
      <c r="J232" s="262">
        <v>2</v>
      </c>
      <c r="K232" s="306">
        <f>693*20*26</f>
        <v>360360</v>
      </c>
      <c r="L232" s="259">
        <f t="shared" si="8"/>
        <v>360360</v>
      </c>
      <c r="M232" s="259">
        <v>50000</v>
      </c>
      <c r="N232" s="22" t="s">
        <v>296</v>
      </c>
      <c r="O232" s="258">
        <v>45104</v>
      </c>
      <c r="P232" s="261">
        <v>5500</v>
      </c>
      <c r="Q232" s="22">
        <v>1</v>
      </c>
      <c r="R232" s="425">
        <f t="shared" si="9"/>
        <v>5500</v>
      </c>
      <c r="S232" s="22" t="s">
        <v>316</v>
      </c>
      <c r="T232" s="22" t="s">
        <v>317</v>
      </c>
      <c r="U232" s="22" t="s">
        <v>318</v>
      </c>
      <c r="V232" s="22"/>
      <c r="W232" s="428"/>
    </row>
    <row r="233" spans="1:23" s="301" customFormat="1" ht="14.45" customHeight="1">
      <c r="A233" s="272" t="s">
        <v>359</v>
      </c>
      <c r="B233" s="22" t="str">
        <f>VLOOKUP(A233,[1]Sheet1!$A:$B,2,0)</f>
        <v>HP</v>
      </c>
      <c r="C233" s="272" t="s">
        <v>365</v>
      </c>
      <c r="D233" s="44">
        <v>610202015</v>
      </c>
      <c r="E233" s="22" t="s">
        <v>74</v>
      </c>
      <c r="F233" s="22">
        <v>2023</v>
      </c>
      <c r="G233" s="22">
        <v>6</v>
      </c>
      <c r="H233" s="22" t="s">
        <v>315</v>
      </c>
      <c r="I233" s="258">
        <v>45608</v>
      </c>
      <c r="J233" s="262">
        <v>2</v>
      </c>
      <c r="K233" s="306">
        <f>382*20*26</f>
        <v>198640</v>
      </c>
      <c r="L233" s="259">
        <f t="shared" si="8"/>
        <v>198640</v>
      </c>
      <c r="M233" s="259">
        <v>50000</v>
      </c>
      <c r="N233" s="22" t="s">
        <v>296</v>
      </c>
      <c r="O233" s="258">
        <v>45107</v>
      </c>
      <c r="P233" s="261">
        <v>1800</v>
      </c>
      <c r="Q233" s="22">
        <v>1</v>
      </c>
      <c r="R233" s="425">
        <f t="shared" si="9"/>
        <v>1800</v>
      </c>
      <c r="S233" s="22" t="s">
        <v>316</v>
      </c>
      <c r="T233" s="22" t="s">
        <v>317</v>
      </c>
      <c r="U233" s="22" t="s">
        <v>318</v>
      </c>
      <c r="V233" s="22"/>
      <c r="W233" s="428"/>
    </row>
    <row r="234" spans="1:23" s="301" customFormat="1" ht="14.45" customHeight="1">
      <c r="A234" s="272" t="s">
        <v>359</v>
      </c>
      <c r="B234" s="22" t="str">
        <f>VLOOKUP(A234,[1]Sheet1!$A:$B,2,0)</f>
        <v>HP</v>
      </c>
      <c r="C234" s="272" t="s">
        <v>362</v>
      </c>
      <c r="D234" s="44">
        <v>620202004</v>
      </c>
      <c r="E234" s="22" t="s">
        <v>74</v>
      </c>
      <c r="F234" s="22">
        <v>2023</v>
      </c>
      <c r="G234" s="22">
        <v>7</v>
      </c>
      <c r="H234" s="22" t="s">
        <v>322</v>
      </c>
      <c r="I234" s="258">
        <v>45608</v>
      </c>
      <c r="J234" s="262">
        <f>J213</f>
        <v>4</v>
      </c>
      <c r="K234" s="306">
        <f>390*20*26</f>
        <v>202800</v>
      </c>
      <c r="L234" s="259">
        <f t="shared" si="8"/>
        <v>202800</v>
      </c>
      <c r="M234" s="259">
        <v>1000000</v>
      </c>
      <c r="N234" s="22" t="s">
        <v>299</v>
      </c>
      <c r="O234" s="258">
        <v>45126</v>
      </c>
      <c r="P234" s="261">
        <v>5700</v>
      </c>
      <c r="Q234" s="22">
        <v>1</v>
      </c>
      <c r="R234" s="425">
        <f t="shared" ref="R234:R243" si="14">P234*Q234</f>
        <v>5700</v>
      </c>
      <c r="S234" s="22" t="s">
        <v>316</v>
      </c>
      <c r="T234" s="22" t="s">
        <v>317</v>
      </c>
      <c r="U234" s="22" t="s">
        <v>318</v>
      </c>
      <c r="V234" s="22"/>
      <c r="W234" s="428"/>
    </row>
    <row r="235" spans="1:23" s="301" customFormat="1" ht="14.45" customHeight="1">
      <c r="A235" s="272" t="s">
        <v>359</v>
      </c>
      <c r="B235" s="22" t="str">
        <f>VLOOKUP(A235,[1]Sheet1!$A:$B,2,0)</f>
        <v>HP</v>
      </c>
      <c r="C235" s="272" t="s">
        <v>365</v>
      </c>
      <c r="D235" s="44">
        <v>610202015</v>
      </c>
      <c r="E235" s="22" t="s">
        <v>74</v>
      </c>
      <c r="F235" s="22">
        <v>2023</v>
      </c>
      <c r="G235" s="22">
        <v>7</v>
      </c>
      <c r="H235" s="22" t="s">
        <v>322</v>
      </c>
      <c r="I235" s="258">
        <v>45608</v>
      </c>
      <c r="J235" s="262" t="str">
        <f>J215</f>
        <v>8+8</v>
      </c>
      <c r="K235" s="306">
        <f>382*20*26</f>
        <v>198640</v>
      </c>
      <c r="L235" s="259">
        <f t="shared" si="8"/>
        <v>198640</v>
      </c>
      <c r="M235" s="259">
        <v>1000000</v>
      </c>
      <c r="N235" s="22" t="s">
        <v>299</v>
      </c>
      <c r="O235" s="258">
        <v>45126</v>
      </c>
      <c r="P235" s="261">
        <v>5500</v>
      </c>
      <c r="Q235" s="22">
        <v>1</v>
      </c>
      <c r="R235" s="425">
        <f t="shared" si="14"/>
        <v>5500</v>
      </c>
      <c r="S235" s="22" t="s">
        <v>316</v>
      </c>
      <c r="T235" s="22" t="s">
        <v>317</v>
      </c>
      <c r="U235" s="22" t="s">
        <v>318</v>
      </c>
      <c r="V235" s="22"/>
      <c r="W235" s="428"/>
    </row>
    <row r="236" spans="1:23" s="301" customFormat="1" ht="14.45" customHeight="1">
      <c r="A236" s="272" t="s">
        <v>359</v>
      </c>
      <c r="B236" s="22" t="str">
        <f>VLOOKUP(A236,[1]Sheet1!$A:$B,2,0)</f>
        <v>HP</v>
      </c>
      <c r="C236" s="272" t="s">
        <v>323</v>
      </c>
      <c r="D236" s="44">
        <v>610202016</v>
      </c>
      <c r="E236" s="22" t="s">
        <v>74</v>
      </c>
      <c r="F236" s="22">
        <v>2023</v>
      </c>
      <c r="G236" s="22">
        <v>7</v>
      </c>
      <c r="H236" s="22" t="s">
        <v>322</v>
      </c>
      <c r="I236" s="258">
        <v>45608</v>
      </c>
      <c r="J236" s="262">
        <f>J219</f>
        <v>16</v>
      </c>
      <c r="K236" s="306">
        <f>1862*20*26</f>
        <v>968240</v>
      </c>
      <c r="L236" s="259">
        <f t="shared" si="8"/>
        <v>968240</v>
      </c>
      <c r="M236" s="259">
        <v>1000000</v>
      </c>
      <c r="N236" s="22" t="s">
        <v>299</v>
      </c>
      <c r="O236" s="258">
        <v>45126</v>
      </c>
      <c r="P236" s="261">
        <v>11000</v>
      </c>
      <c r="Q236" s="22">
        <v>1</v>
      </c>
      <c r="R236" s="425">
        <f t="shared" si="14"/>
        <v>11000</v>
      </c>
      <c r="S236" s="22" t="s">
        <v>316</v>
      </c>
      <c r="T236" s="22" t="s">
        <v>317</v>
      </c>
      <c r="U236" s="22" t="s">
        <v>318</v>
      </c>
      <c r="V236" s="22"/>
      <c r="W236" s="428"/>
    </row>
    <row r="237" spans="1:23" s="301" customFormat="1" ht="14.45" customHeight="1">
      <c r="A237" s="272" t="s">
        <v>359</v>
      </c>
      <c r="B237" s="22" t="str">
        <f>VLOOKUP(A237,[1]Sheet1!$A:$B,2,0)</f>
        <v>HP</v>
      </c>
      <c r="C237" s="272" t="s">
        <v>360</v>
      </c>
      <c r="D237" s="44">
        <v>620202001</v>
      </c>
      <c r="E237" s="22" t="s">
        <v>74</v>
      </c>
      <c r="F237" s="22">
        <v>2023</v>
      </c>
      <c r="G237" s="22">
        <v>7</v>
      </c>
      <c r="H237" s="22" t="s">
        <v>322</v>
      </c>
      <c r="I237" s="258">
        <v>45608</v>
      </c>
      <c r="J237" s="262">
        <f>J211</f>
        <v>16</v>
      </c>
      <c r="K237" s="306">
        <f>1851*20*26</f>
        <v>962520</v>
      </c>
      <c r="L237" s="259">
        <f t="shared" si="8"/>
        <v>962520</v>
      </c>
      <c r="M237" s="259">
        <v>1000000</v>
      </c>
      <c r="N237" s="22" t="s">
        <v>299</v>
      </c>
      <c r="O237" s="258">
        <v>45131</v>
      </c>
      <c r="P237" s="261">
        <v>5800</v>
      </c>
      <c r="Q237" s="22">
        <v>1</v>
      </c>
      <c r="R237" s="425">
        <f t="shared" si="14"/>
        <v>5800</v>
      </c>
      <c r="S237" s="22" t="s">
        <v>316</v>
      </c>
      <c r="T237" s="22" t="s">
        <v>317</v>
      </c>
      <c r="U237" s="22" t="s">
        <v>318</v>
      </c>
      <c r="V237" s="22"/>
      <c r="W237" s="428"/>
    </row>
    <row r="238" spans="1:23" s="301" customFormat="1" ht="14.45" customHeight="1">
      <c r="A238" s="272" t="s">
        <v>359</v>
      </c>
      <c r="B238" s="22" t="str">
        <f>VLOOKUP(A238,[1]Sheet1!$A:$B,2,0)</f>
        <v>HP</v>
      </c>
      <c r="C238" s="272" t="s">
        <v>361</v>
      </c>
      <c r="D238" s="44">
        <v>620202009</v>
      </c>
      <c r="E238" s="22" t="s">
        <v>74</v>
      </c>
      <c r="F238" s="22">
        <v>2023</v>
      </c>
      <c r="G238" s="22">
        <v>7</v>
      </c>
      <c r="H238" s="22" t="s">
        <v>322</v>
      </c>
      <c r="I238" s="258">
        <v>45608</v>
      </c>
      <c r="J238" s="262">
        <f>J212</f>
        <v>16</v>
      </c>
      <c r="K238" s="306">
        <f>1688*20*26</f>
        <v>877760</v>
      </c>
      <c r="L238" s="259">
        <f t="shared" si="8"/>
        <v>877760</v>
      </c>
      <c r="M238" s="259">
        <v>1000000</v>
      </c>
      <c r="N238" s="22" t="s">
        <v>299</v>
      </c>
      <c r="O238" s="258">
        <v>45131</v>
      </c>
      <c r="P238" s="261">
        <v>7800</v>
      </c>
      <c r="Q238" s="22">
        <v>1</v>
      </c>
      <c r="R238" s="425">
        <f t="shared" si="14"/>
        <v>7800</v>
      </c>
      <c r="S238" s="22" t="s">
        <v>316</v>
      </c>
      <c r="T238" s="22" t="s">
        <v>317</v>
      </c>
      <c r="U238" s="22" t="s">
        <v>318</v>
      </c>
      <c r="V238" s="22"/>
      <c r="W238" s="428"/>
    </row>
    <row r="239" spans="1:23" s="301" customFormat="1" ht="14.45" customHeight="1">
      <c r="A239" s="272" t="s">
        <v>359</v>
      </c>
      <c r="B239" s="22" t="str">
        <f>VLOOKUP(A239,[1]Sheet1!$A:$B,2,0)</f>
        <v>HP</v>
      </c>
      <c r="C239" s="272" t="s">
        <v>363</v>
      </c>
      <c r="D239" s="44">
        <v>610202008</v>
      </c>
      <c r="E239" s="22" t="s">
        <v>74</v>
      </c>
      <c r="F239" s="22">
        <v>2023</v>
      </c>
      <c r="G239" s="22">
        <v>8</v>
      </c>
      <c r="H239" s="22" t="s">
        <v>322</v>
      </c>
      <c r="I239" s="258">
        <v>45608</v>
      </c>
      <c r="J239" s="262" t="str">
        <f>J214</f>
        <v>8+8</v>
      </c>
      <c r="K239" s="306">
        <f>177*20*26</f>
        <v>92040</v>
      </c>
      <c r="L239" s="259">
        <f t="shared" si="8"/>
        <v>92040</v>
      </c>
      <c r="M239" s="259">
        <v>1000000</v>
      </c>
      <c r="N239" s="22" t="s">
        <v>299</v>
      </c>
      <c r="O239" s="258">
        <v>45149</v>
      </c>
      <c r="P239" s="261">
        <v>200010</v>
      </c>
      <c r="Q239" s="22">
        <v>1</v>
      </c>
      <c r="R239" s="425">
        <f t="shared" si="14"/>
        <v>200010</v>
      </c>
      <c r="S239" s="22" t="s">
        <v>316</v>
      </c>
      <c r="T239" s="22" t="s">
        <v>317</v>
      </c>
      <c r="U239" s="22" t="s">
        <v>318</v>
      </c>
      <c r="V239" s="22"/>
      <c r="W239" s="428"/>
    </row>
    <row r="240" spans="1:23" s="301" customFormat="1" ht="14.45" customHeight="1">
      <c r="A240" s="272" t="s">
        <v>359</v>
      </c>
      <c r="B240" s="22" t="str">
        <f>VLOOKUP(A240,[1]Sheet1!$A:$B,2,0)</f>
        <v>HP</v>
      </c>
      <c r="C240" s="272" t="s">
        <v>363</v>
      </c>
      <c r="D240" s="44">
        <v>610202008</v>
      </c>
      <c r="E240" s="22" t="s">
        <v>74</v>
      </c>
      <c r="F240" s="22">
        <v>2023</v>
      </c>
      <c r="G240" s="22">
        <v>8</v>
      </c>
      <c r="H240" s="22" t="s">
        <v>322</v>
      </c>
      <c r="I240" s="258">
        <v>45608</v>
      </c>
      <c r="J240" s="262" t="str">
        <f>J214</f>
        <v>8+8</v>
      </c>
      <c r="K240" s="306">
        <f>177*20*26</f>
        <v>92040</v>
      </c>
      <c r="L240" s="259">
        <f t="shared" ref="L240:L276" si="15">K240*Q240</f>
        <v>92040</v>
      </c>
      <c r="M240" s="259">
        <v>1000000</v>
      </c>
      <c r="N240" s="22" t="s">
        <v>299</v>
      </c>
      <c r="O240" s="258">
        <v>45149</v>
      </c>
      <c r="P240" s="261">
        <v>81000</v>
      </c>
      <c r="Q240" s="22">
        <v>1</v>
      </c>
      <c r="R240" s="425">
        <f t="shared" si="14"/>
        <v>81000</v>
      </c>
      <c r="S240" s="22" t="s">
        <v>316</v>
      </c>
      <c r="T240" s="22" t="s">
        <v>317</v>
      </c>
      <c r="U240" s="22" t="s">
        <v>318</v>
      </c>
      <c r="V240" s="22"/>
      <c r="W240" s="428"/>
    </row>
    <row r="241" spans="1:23" s="301" customFormat="1" ht="14.45" customHeight="1">
      <c r="A241" s="272" t="s">
        <v>359</v>
      </c>
      <c r="B241" s="22" t="str">
        <f>VLOOKUP(A241,[1]Sheet1!$A:$B,2,0)</f>
        <v>HP</v>
      </c>
      <c r="C241" s="272" t="s">
        <v>367</v>
      </c>
      <c r="D241" s="44">
        <v>610202005</v>
      </c>
      <c r="E241" s="22" t="s">
        <v>74</v>
      </c>
      <c r="F241" s="22">
        <v>2023</v>
      </c>
      <c r="G241" s="22">
        <v>8</v>
      </c>
      <c r="H241" s="22" t="s">
        <v>322</v>
      </c>
      <c r="I241" s="258">
        <v>45608</v>
      </c>
      <c r="J241" s="262">
        <f>J217</f>
        <v>4</v>
      </c>
      <c r="K241" s="306">
        <f>217*20*26</f>
        <v>112840</v>
      </c>
      <c r="L241" s="259">
        <f t="shared" si="15"/>
        <v>112840</v>
      </c>
      <c r="M241" s="259">
        <v>1000000</v>
      </c>
      <c r="N241" s="22" t="s">
        <v>299</v>
      </c>
      <c r="O241" s="260">
        <v>45152</v>
      </c>
      <c r="P241" s="261">
        <v>17280</v>
      </c>
      <c r="Q241" s="22">
        <v>1</v>
      </c>
      <c r="R241" s="425">
        <f t="shared" si="14"/>
        <v>17280</v>
      </c>
      <c r="S241" s="22" t="s">
        <v>316</v>
      </c>
      <c r="T241" s="22" t="s">
        <v>317</v>
      </c>
      <c r="U241" s="22" t="s">
        <v>318</v>
      </c>
      <c r="V241" s="22"/>
      <c r="W241" s="428"/>
    </row>
    <row r="242" spans="1:23" s="301" customFormat="1" ht="14.45" customHeight="1">
      <c r="A242" s="272" t="s">
        <v>359</v>
      </c>
      <c r="B242" s="22" t="str">
        <f>VLOOKUP(A242,[1]Sheet1!$A:$B,2,0)</f>
        <v>HP</v>
      </c>
      <c r="C242" s="272" t="s">
        <v>371</v>
      </c>
      <c r="D242" s="44">
        <v>610202032</v>
      </c>
      <c r="E242" s="22" t="s">
        <v>74</v>
      </c>
      <c r="F242" s="22">
        <v>2023</v>
      </c>
      <c r="G242" s="22">
        <v>8</v>
      </c>
      <c r="H242" s="22" t="s">
        <v>322</v>
      </c>
      <c r="I242" s="258">
        <v>45608</v>
      </c>
      <c r="J242" s="262">
        <f>J222</f>
        <v>8</v>
      </c>
      <c r="K242" s="306">
        <f>570*20*26</f>
        <v>296400</v>
      </c>
      <c r="L242" s="259">
        <f t="shared" si="15"/>
        <v>296400</v>
      </c>
      <c r="M242" s="259">
        <v>1000000</v>
      </c>
      <c r="N242" s="22" t="s">
        <v>299</v>
      </c>
      <c r="O242" s="260">
        <v>45152</v>
      </c>
      <c r="P242" s="261">
        <v>19640</v>
      </c>
      <c r="Q242" s="22">
        <v>1</v>
      </c>
      <c r="R242" s="425">
        <f t="shared" si="14"/>
        <v>19640</v>
      </c>
      <c r="S242" s="22" t="s">
        <v>316</v>
      </c>
      <c r="T242" s="22" t="s">
        <v>317</v>
      </c>
      <c r="U242" s="22" t="s">
        <v>318</v>
      </c>
      <c r="V242" s="22"/>
      <c r="W242" s="428"/>
    </row>
    <row r="243" spans="1:23" s="301" customFormat="1" ht="14.45" customHeight="1">
      <c r="A243" s="272" t="s">
        <v>359</v>
      </c>
      <c r="B243" s="22" t="str">
        <f>VLOOKUP(A243,[1]Sheet1!$A:$B,2,0)</f>
        <v>HP</v>
      </c>
      <c r="C243" s="272" t="s">
        <v>371</v>
      </c>
      <c r="D243" s="44">
        <v>610202032</v>
      </c>
      <c r="E243" s="22" t="s">
        <v>74</v>
      </c>
      <c r="F243" s="22">
        <v>2023</v>
      </c>
      <c r="G243" s="22">
        <v>8</v>
      </c>
      <c r="H243" s="22" t="s">
        <v>322</v>
      </c>
      <c r="I243" s="258">
        <v>45608</v>
      </c>
      <c r="J243" s="262">
        <f>J222</f>
        <v>8</v>
      </c>
      <c r="K243" s="306">
        <f>570*20*26</f>
        <v>296400</v>
      </c>
      <c r="L243" s="259">
        <f t="shared" si="15"/>
        <v>296400</v>
      </c>
      <c r="M243" s="259">
        <v>1000000</v>
      </c>
      <c r="N243" s="22" t="s">
        <v>299</v>
      </c>
      <c r="O243" s="260">
        <v>45154</v>
      </c>
      <c r="P243" s="261">
        <v>39000</v>
      </c>
      <c r="Q243" s="22">
        <v>1</v>
      </c>
      <c r="R243" s="425">
        <f t="shared" si="14"/>
        <v>39000</v>
      </c>
      <c r="S243" s="22" t="s">
        <v>316</v>
      </c>
      <c r="T243" s="22" t="s">
        <v>317</v>
      </c>
      <c r="U243" s="22" t="s">
        <v>318</v>
      </c>
      <c r="V243" s="22"/>
      <c r="W243" s="428"/>
    </row>
    <row r="244" spans="1:23" s="301" customFormat="1" ht="14.45" customHeight="1">
      <c r="A244" s="272" t="s">
        <v>359</v>
      </c>
      <c r="B244" s="22" t="str">
        <f>VLOOKUP(A244,[1]Sheet1!$A:$B,2,0)</f>
        <v>HP</v>
      </c>
      <c r="C244" s="272" t="s">
        <v>369</v>
      </c>
      <c r="D244" s="44">
        <v>610202027</v>
      </c>
      <c r="E244" s="22" t="s">
        <v>74</v>
      </c>
      <c r="F244" s="22">
        <v>2023</v>
      </c>
      <c r="G244" s="22">
        <v>8</v>
      </c>
      <c r="H244" s="22" t="s">
        <v>322</v>
      </c>
      <c r="I244" s="258">
        <v>45608</v>
      </c>
      <c r="J244" s="262" t="str">
        <f>J220</f>
        <v>8+8</v>
      </c>
      <c r="K244" s="306">
        <f>739*20*26</f>
        <v>384280</v>
      </c>
      <c r="L244" s="259">
        <f t="shared" si="15"/>
        <v>384280</v>
      </c>
      <c r="M244" s="259">
        <v>1000000</v>
      </c>
      <c r="N244" s="22" t="s">
        <v>299</v>
      </c>
      <c r="O244" s="260">
        <v>45154</v>
      </c>
      <c r="P244" s="261">
        <v>40646</v>
      </c>
      <c r="Q244" s="22">
        <v>1</v>
      </c>
      <c r="R244" s="425">
        <f t="shared" ref="R244:R285" si="16">P244*Q244</f>
        <v>40646</v>
      </c>
      <c r="S244" s="22" t="s">
        <v>316</v>
      </c>
      <c r="T244" s="22" t="s">
        <v>317</v>
      </c>
      <c r="U244" s="22" t="s">
        <v>318</v>
      </c>
      <c r="V244" s="22"/>
      <c r="W244" s="428"/>
    </row>
    <row r="245" spans="1:23" s="301" customFormat="1" ht="14.45" customHeight="1">
      <c r="A245" s="272" t="s">
        <v>359</v>
      </c>
      <c r="B245" s="22" t="str">
        <f>VLOOKUP(A245,[1]Sheet1!$A:$B,2,0)</f>
        <v>HP</v>
      </c>
      <c r="C245" s="272" t="s">
        <v>370</v>
      </c>
      <c r="D245" s="44">
        <v>610202021</v>
      </c>
      <c r="E245" s="22" t="s">
        <v>74</v>
      </c>
      <c r="F245" s="22">
        <v>2023</v>
      </c>
      <c r="G245" s="22">
        <v>8</v>
      </c>
      <c r="H245" s="22" t="s">
        <v>322</v>
      </c>
      <c r="I245" s="258">
        <v>45608</v>
      </c>
      <c r="J245" s="262">
        <f>J221</f>
        <v>16</v>
      </c>
      <c r="K245" s="306">
        <f>1862*20*26</f>
        <v>968240</v>
      </c>
      <c r="L245" s="259">
        <f t="shared" si="15"/>
        <v>968240</v>
      </c>
      <c r="M245" s="259">
        <v>1000000</v>
      </c>
      <c r="N245" s="22" t="s">
        <v>299</v>
      </c>
      <c r="O245" s="260">
        <v>45162</v>
      </c>
      <c r="P245" s="261">
        <v>8814</v>
      </c>
      <c r="Q245" s="22">
        <v>1</v>
      </c>
      <c r="R245" s="425">
        <f t="shared" si="16"/>
        <v>8814</v>
      </c>
      <c r="S245" s="22" t="s">
        <v>316</v>
      </c>
      <c r="T245" s="22" t="s">
        <v>317</v>
      </c>
      <c r="U245" s="22" t="s">
        <v>318</v>
      </c>
      <c r="V245" s="22"/>
      <c r="W245" s="428"/>
    </row>
    <row r="246" spans="1:23" s="301" customFormat="1" ht="14.45" customHeight="1">
      <c r="A246" s="272" t="s">
        <v>359</v>
      </c>
      <c r="B246" s="22" t="str">
        <f>VLOOKUP(A246,[1]Sheet1!$A:$B,2,0)</f>
        <v>HP</v>
      </c>
      <c r="C246" s="272" t="s">
        <v>363</v>
      </c>
      <c r="D246" s="44">
        <v>610202008</v>
      </c>
      <c r="E246" s="22" t="s">
        <v>74</v>
      </c>
      <c r="F246" s="22">
        <v>2023</v>
      </c>
      <c r="G246" s="22">
        <v>8</v>
      </c>
      <c r="H246" s="22" t="s">
        <v>322</v>
      </c>
      <c r="I246" s="258">
        <v>45608</v>
      </c>
      <c r="J246" s="262" t="str">
        <f>J214</f>
        <v>8+8</v>
      </c>
      <c r="K246" s="306">
        <f>177*20*26</f>
        <v>92040</v>
      </c>
      <c r="L246" s="259">
        <f t="shared" si="15"/>
        <v>92040</v>
      </c>
      <c r="M246" s="259">
        <v>1000000</v>
      </c>
      <c r="N246" s="22" t="s">
        <v>299</v>
      </c>
      <c r="O246" s="260">
        <v>45168</v>
      </c>
      <c r="P246" s="261">
        <v>13475</v>
      </c>
      <c r="Q246" s="22">
        <v>1</v>
      </c>
      <c r="R246" s="425">
        <f t="shared" si="16"/>
        <v>13475</v>
      </c>
      <c r="S246" s="22" t="s">
        <v>316</v>
      </c>
      <c r="T246" s="22" t="s">
        <v>317</v>
      </c>
      <c r="U246" s="22" t="s">
        <v>318</v>
      </c>
      <c r="V246" s="22"/>
      <c r="W246" s="428"/>
    </row>
    <row r="247" spans="1:23" s="301" customFormat="1" ht="14.45" customHeight="1">
      <c r="A247" s="272" t="s">
        <v>106</v>
      </c>
      <c r="B247" s="22" t="str">
        <f>VLOOKUP(A247,[1]Sheet1!$A:$B,2,0)</f>
        <v>MODI</v>
      </c>
      <c r="C247" s="32" t="s">
        <v>109</v>
      </c>
      <c r="D247" s="44">
        <v>130040670027765</v>
      </c>
      <c r="E247" s="22" t="s">
        <v>74</v>
      </c>
      <c r="F247" s="22">
        <v>2023</v>
      </c>
      <c r="G247" s="22">
        <v>10</v>
      </c>
      <c r="H247" s="22" t="s">
        <v>315</v>
      </c>
      <c r="I247" s="258">
        <v>45608</v>
      </c>
      <c r="J247" s="262">
        <v>2</v>
      </c>
      <c r="K247" s="275"/>
      <c r="L247" s="259">
        <f t="shared" si="15"/>
        <v>0</v>
      </c>
      <c r="M247" s="259">
        <v>50000</v>
      </c>
      <c r="N247" s="22" t="s">
        <v>296</v>
      </c>
      <c r="O247" s="258">
        <v>45218</v>
      </c>
      <c r="P247" s="261">
        <v>71000</v>
      </c>
      <c r="Q247" s="22">
        <v>1</v>
      </c>
      <c r="R247" s="425">
        <f t="shared" si="16"/>
        <v>71000</v>
      </c>
      <c r="S247" s="22" t="s">
        <v>358</v>
      </c>
      <c r="T247" s="22" t="s">
        <v>317</v>
      </c>
      <c r="U247" s="22" t="s">
        <v>318</v>
      </c>
      <c r="V247" s="22"/>
      <c r="W247" s="428"/>
    </row>
    <row r="248" spans="1:23" s="301" customFormat="1" ht="14.45" customHeight="1">
      <c r="A248" s="272" t="s">
        <v>106</v>
      </c>
      <c r="B248" s="22" t="str">
        <f>VLOOKUP(A248,[1]Sheet1!$A:$B,2,0)</f>
        <v>MODI</v>
      </c>
      <c r="C248" s="32" t="s">
        <v>111</v>
      </c>
      <c r="D248" s="44">
        <v>130040670018919</v>
      </c>
      <c r="E248" s="22" t="s">
        <v>74</v>
      </c>
      <c r="F248" s="22">
        <v>2023</v>
      </c>
      <c r="G248" s="22">
        <v>10</v>
      </c>
      <c r="H248" s="22" t="s">
        <v>315</v>
      </c>
      <c r="I248" s="258">
        <v>45608</v>
      </c>
      <c r="J248" s="262">
        <v>2</v>
      </c>
      <c r="K248" s="275"/>
      <c r="L248" s="259">
        <f t="shared" si="15"/>
        <v>0</v>
      </c>
      <c r="M248" s="259">
        <v>50000</v>
      </c>
      <c r="N248" s="22" t="s">
        <v>296</v>
      </c>
      <c r="O248" s="258">
        <v>45218</v>
      </c>
      <c r="P248" s="261">
        <v>98000.000000000015</v>
      </c>
      <c r="Q248" s="22">
        <v>1</v>
      </c>
      <c r="R248" s="425">
        <f t="shared" si="16"/>
        <v>98000.000000000015</v>
      </c>
      <c r="S248" s="22" t="s">
        <v>358</v>
      </c>
      <c r="T248" s="22" t="s">
        <v>317</v>
      </c>
      <c r="U248" s="22" t="s">
        <v>318</v>
      </c>
      <c r="V248" s="22"/>
      <c r="W248" s="428"/>
    </row>
    <row r="249" spans="1:23" s="301" customFormat="1" ht="14.45" customHeight="1">
      <c r="A249" s="272" t="s">
        <v>106</v>
      </c>
      <c r="B249" s="22" t="str">
        <f>VLOOKUP(A249,[1]Sheet1!$A:$B,2,0)</f>
        <v>MODI</v>
      </c>
      <c r="C249" s="32" t="s">
        <v>112</v>
      </c>
      <c r="D249" s="44">
        <v>130040670018925</v>
      </c>
      <c r="E249" s="22" t="s">
        <v>74</v>
      </c>
      <c r="F249" s="22">
        <v>2023</v>
      </c>
      <c r="G249" s="22">
        <v>10</v>
      </c>
      <c r="H249" s="22" t="s">
        <v>315</v>
      </c>
      <c r="I249" s="258">
        <v>45608</v>
      </c>
      <c r="J249" s="262">
        <v>2</v>
      </c>
      <c r="K249" s="275"/>
      <c r="L249" s="259">
        <f t="shared" si="15"/>
        <v>0</v>
      </c>
      <c r="M249" s="259">
        <v>50000</v>
      </c>
      <c r="N249" s="22" t="s">
        <v>296</v>
      </c>
      <c r="O249" s="258">
        <v>45218</v>
      </c>
      <c r="P249" s="261">
        <v>65000.000000000007</v>
      </c>
      <c r="Q249" s="22">
        <v>1</v>
      </c>
      <c r="R249" s="425">
        <f t="shared" si="16"/>
        <v>65000.000000000007</v>
      </c>
      <c r="S249" s="22" t="s">
        <v>358</v>
      </c>
      <c r="T249" s="22" t="s">
        <v>317</v>
      </c>
      <c r="U249" s="22" t="s">
        <v>318</v>
      </c>
      <c r="V249" s="22"/>
      <c r="W249" s="428"/>
    </row>
    <row r="250" spans="1:23" s="301" customFormat="1" ht="14.45" customHeight="1">
      <c r="A250" s="272" t="s">
        <v>359</v>
      </c>
      <c r="B250" s="22" t="str">
        <f>VLOOKUP(A250,[1]Sheet1!$A:$B,2,0)</f>
        <v>HP</v>
      </c>
      <c r="C250" s="32" t="s">
        <v>122</v>
      </c>
      <c r="D250" s="44" t="s">
        <v>75</v>
      </c>
      <c r="E250" s="22" t="s">
        <v>74</v>
      </c>
      <c r="F250" s="22">
        <v>2023</v>
      </c>
      <c r="G250" s="22">
        <v>11</v>
      </c>
      <c r="H250" s="22" t="s">
        <v>315</v>
      </c>
      <c r="I250" s="258">
        <v>45608</v>
      </c>
      <c r="J250" s="262">
        <v>2</v>
      </c>
      <c r="K250" s="306">
        <f>382*20*26</f>
        <v>198640</v>
      </c>
      <c r="L250" s="259">
        <f t="shared" si="15"/>
        <v>198640</v>
      </c>
      <c r="M250" s="259">
        <v>50000</v>
      </c>
      <c r="N250" s="22" t="s">
        <v>296</v>
      </c>
      <c r="O250" s="258">
        <v>45238</v>
      </c>
      <c r="P250" s="261">
        <v>56600</v>
      </c>
      <c r="Q250" s="22">
        <v>1</v>
      </c>
      <c r="R250" s="425">
        <f t="shared" si="16"/>
        <v>56600</v>
      </c>
      <c r="S250" s="22" t="s">
        <v>349</v>
      </c>
      <c r="T250" s="22" t="s">
        <v>317</v>
      </c>
      <c r="U250" s="22" t="s">
        <v>318</v>
      </c>
      <c r="V250" s="22" t="s">
        <v>372</v>
      </c>
      <c r="W250" s="428"/>
    </row>
    <row r="251" spans="1:23" s="301" customFormat="1" ht="14.45" customHeight="1">
      <c r="A251" s="272" t="s">
        <v>359</v>
      </c>
      <c r="B251" s="22" t="str">
        <f>VLOOKUP(A251,[1]Sheet1!$A:$B,2,0)</f>
        <v>HP</v>
      </c>
      <c r="C251" s="32" t="s">
        <v>373</v>
      </c>
      <c r="D251" s="44" t="s">
        <v>75</v>
      </c>
      <c r="E251" s="22" t="s">
        <v>74</v>
      </c>
      <c r="F251" s="22">
        <v>2023</v>
      </c>
      <c r="G251" s="22">
        <v>11</v>
      </c>
      <c r="H251" s="22" t="s">
        <v>315</v>
      </c>
      <c r="I251" s="258">
        <v>45608</v>
      </c>
      <c r="J251" s="262">
        <v>2</v>
      </c>
      <c r="K251" s="275"/>
      <c r="L251" s="259">
        <f t="shared" si="15"/>
        <v>0</v>
      </c>
      <c r="M251" s="259">
        <v>50000</v>
      </c>
      <c r="N251" s="22" t="s">
        <v>296</v>
      </c>
      <c r="O251" s="258">
        <v>45238</v>
      </c>
      <c r="P251" s="261">
        <v>122000</v>
      </c>
      <c r="Q251" s="22">
        <v>1</v>
      </c>
      <c r="R251" s="425">
        <f t="shared" si="16"/>
        <v>122000</v>
      </c>
      <c r="S251" s="22" t="s">
        <v>349</v>
      </c>
      <c r="T251" s="22" t="s">
        <v>317</v>
      </c>
      <c r="U251" s="22" t="s">
        <v>318</v>
      </c>
      <c r="V251" s="22" t="s">
        <v>372</v>
      </c>
      <c r="W251" s="428"/>
    </row>
    <row r="252" spans="1:23" s="301" customFormat="1" ht="14.45" customHeight="1">
      <c r="A252" s="272" t="s">
        <v>359</v>
      </c>
      <c r="B252" s="22" t="str">
        <f>VLOOKUP(A252,[1]Sheet1!$A:$B,2,0)</f>
        <v>HP</v>
      </c>
      <c r="C252" s="32" t="s">
        <v>374</v>
      </c>
      <c r="D252" s="44" t="s">
        <v>75</v>
      </c>
      <c r="E252" s="22" t="s">
        <v>74</v>
      </c>
      <c r="F252" s="22">
        <v>2023</v>
      </c>
      <c r="G252" s="22">
        <v>11</v>
      </c>
      <c r="H252" s="22" t="s">
        <v>315</v>
      </c>
      <c r="I252" s="258">
        <v>45608</v>
      </c>
      <c r="J252" s="262">
        <v>2</v>
      </c>
      <c r="K252" s="275"/>
      <c r="L252" s="259">
        <f t="shared" si="15"/>
        <v>0</v>
      </c>
      <c r="M252" s="259">
        <v>50000</v>
      </c>
      <c r="N252" s="22" t="s">
        <v>296</v>
      </c>
      <c r="O252" s="258">
        <v>45238</v>
      </c>
      <c r="P252" s="261">
        <v>52000</v>
      </c>
      <c r="Q252" s="22">
        <v>1</v>
      </c>
      <c r="R252" s="425">
        <f t="shared" si="16"/>
        <v>52000</v>
      </c>
      <c r="S252" s="22" t="s">
        <v>349</v>
      </c>
      <c r="T252" s="22" t="s">
        <v>317</v>
      </c>
      <c r="U252" s="22" t="s">
        <v>318</v>
      </c>
      <c r="V252" s="22" t="s">
        <v>372</v>
      </c>
      <c r="W252" s="428"/>
    </row>
    <row r="253" spans="1:23" s="301" customFormat="1" ht="14.45" customHeight="1">
      <c r="A253" s="272" t="s">
        <v>359</v>
      </c>
      <c r="B253" s="22" t="str">
        <f>VLOOKUP(A253,[1]Sheet1!$A:$B,2,0)</f>
        <v>HP</v>
      </c>
      <c r="C253" s="32" t="s">
        <v>375</v>
      </c>
      <c r="D253" s="44" t="s">
        <v>75</v>
      </c>
      <c r="E253" s="22" t="s">
        <v>74</v>
      </c>
      <c r="F253" s="22">
        <v>2023</v>
      </c>
      <c r="G253" s="22">
        <v>11</v>
      </c>
      <c r="H253" s="22" t="s">
        <v>315</v>
      </c>
      <c r="I253" s="258">
        <v>45608</v>
      </c>
      <c r="J253" s="262">
        <v>2</v>
      </c>
      <c r="K253" s="275"/>
      <c r="L253" s="259">
        <f t="shared" si="15"/>
        <v>0</v>
      </c>
      <c r="M253" s="259">
        <v>50000</v>
      </c>
      <c r="N253" s="22" t="s">
        <v>296</v>
      </c>
      <c r="O253" s="258">
        <v>45238</v>
      </c>
      <c r="P253" s="261">
        <v>198000</v>
      </c>
      <c r="Q253" s="22">
        <v>1</v>
      </c>
      <c r="R253" s="425">
        <f t="shared" si="16"/>
        <v>198000</v>
      </c>
      <c r="S253" s="22" t="s">
        <v>349</v>
      </c>
      <c r="T253" s="22" t="s">
        <v>317</v>
      </c>
      <c r="U253" s="22" t="s">
        <v>318</v>
      </c>
      <c r="V253" s="22" t="s">
        <v>372</v>
      </c>
      <c r="W253" s="428"/>
    </row>
    <row r="254" spans="1:23" s="301" customFormat="1" ht="14.45" customHeight="1">
      <c r="A254" s="272" t="s">
        <v>359</v>
      </c>
      <c r="B254" s="22" t="str">
        <f>VLOOKUP(A254,[1]Sheet1!$A:$B,2,0)</f>
        <v>HP</v>
      </c>
      <c r="C254" s="32" t="s">
        <v>376</v>
      </c>
      <c r="D254" s="44" t="s">
        <v>75</v>
      </c>
      <c r="E254" s="22" t="s">
        <v>74</v>
      </c>
      <c r="F254" s="22">
        <v>2023</v>
      </c>
      <c r="G254" s="22">
        <v>11</v>
      </c>
      <c r="H254" s="22" t="s">
        <v>315</v>
      </c>
      <c r="I254" s="258">
        <v>45608</v>
      </c>
      <c r="J254" s="262">
        <v>2</v>
      </c>
      <c r="K254" s="275"/>
      <c r="L254" s="259">
        <f t="shared" si="15"/>
        <v>0</v>
      </c>
      <c r="M254" s="259">
        <v>50000</v>
      </c>
      <c r="N254" s="22" t="s">
        <v>296</v>
      </c>
      <c r="O254" s="258">
        <v>45238</v>
      </c>
      <c r="P254" s="261">
        <v>52800</v>
      </c>
      <c r="Q254" s="22">
        <v>1</v>
      </c>
      <c r="R254" s="425">
        <f t="shared" si="16"/>
        <v>52800</v>
      </c>
      <c r="S254" s="22" t="s">
        <v>349</v>
      </c>
      <c r="T254" s="22" t="s">
        <v>317</v>
      </c>
      <c r="U254" s="22" t="s">
        <v>318</v>
      </c>
      <c r="V254" s="22" t="s">
        <v>372</v>
      </c>
      <c r="W254" s="428"/>
    </row>
    <row r="255" spans="1:23" s="301" customFormat="1" ht="14.45" customHeight="1">
      <c r="A255" s="272" t="s">
        <v>359</v>
      </c>
      <c r="B255" s="22" t="str">
        <f>VLOOKUP(A255,[1]Sheet1!$A:$B,2,0)</f>
        <v>HP</v>
      </c>
      <c r="C255" s="32" t="s">
        <v>377</v>
      </c>
      <c r="D255" s="44" t="s">
        <v>75</v>
      </c>
      <c r="E255" s="22" t="s">
        <v>74</v>
      </c>
      <c r="F255" s="22">
        <v>2023</v>
      </c>
      <c r="G255" s="22">
        <v>11</v>
      </c>
      <c r="H255" s="22" t="s">
        <v>315</v>
      </c>
      <c r="I255" s="258">
        <v>45608</v>
      </c>
      <c r="J255" s="262">
        <v>2</v>
      </c>
      <c r="K255" s="275"/>
      <c r="L255" s="259">
        <f t="shared" si="15"/>
        <v>0</v>
      </c>
      <c r="M255" s="259">
        <v>50000</v>
      </c>
      <c r="N255" s="22" t="s">
        <v>296</v>
      </c>
      <c r="O255" s="258">
        <v>45238</v>
      </c>
      <c r="P255" s="261">
        <v>49500</v>
      </c>
      <c r="Q255" s="22">
        <v>1</v>
      </c>
      <c r="R255" s="425">
        <f t="shared" si="16"/>
        <v>49500</v>
      </c>
      <c r="S255" s="22" t="s">
        <v>349</v>
      </c>
      <c r="T255" s="22" t="s">
        <v>317</v>
      </c>
      <c r="U255" s="22" t="s">
        <v>318</v>
      </c>
      <c r="V255" s="22" t="s">
        <v>372</v>
      </c>
      <c r="W255" s="428"/>
    </row>
    <row r="256" spans="1:23" s="301" customFormat="1" ht="14.45" customHeight="1">
      <c r="A256" s="272" t="s">
        <v>359</v>
      </c>
      <c r="B256" s="22" t="str">
        <f>VLOOKUP(A256,[1]Sheet1!$A:$B,2,0)</f>
        <v>HP</v>
      </c>
      <c r="C256" s="32" t="s">
        <v>378</v>
      </c>
      <c r="D256" s="44" t="s">
        <v>75</v>
      </c>
      <c r="E256" s="22" t="s">
        <v>74</v>
      </c>
      <c r="F256" s="22">
        <v>2023</v>
      </c>
      <c r="G256" s="22">
        <v>11</v>
      </c>
      <c r="H256" s="22" t="s">
        <v>315</v>
      </c>
      <c r="I256" s="258">
        <v>45608</v>
      </c>
      <c r="J256" s="262">
        <v>2</v>
      </c>
      <c r="K256" s="275"/>
      <c r="L256" s="259">
        <f t="shared" si="15"/>
        <v>0</v>
      </c>
      <c r="M256" s="259">
        <v>50000</v>
      </c>
      <c r="N256" s="22" t="s">
        <v>296</v>
      </c>
      <c r="O256" s="258">
        <v>45238</v>
      </c>
      <c r="P256" s="261">
        <v>73000</v>
      </c>
      <c r="Q256" s="22">
        <v>1</v>
      </c>
      <c r="R256" s="425">
        <f t="shared" si="16"/>
        <v>73000</v>
      </c>
      <c r="S256" s="22" t="s">
        <v>349</v>
      </c>
      <c r="T256" s="22" t="s">
        <v>317</v>
      </c>
      <c r="U256" s="22" t="s">
        <v>318</v>
      </c>
      <c r="V256" s="22" t="s">
        <v>372</v>
      </c>
      <c r="W256" s="428"/>
    </row>
    <row r="257" spans="1:23" s="301" customFormat="1" ht="14.45" customHeight="1">
      <c r="A257" s="272" t="s">
        <v>359</v>
      </c>
      <c r="B257" s="22" t="str">
        <f>VLOOKUP(A257,[1]Sheet1!$A:$B,2,0)</f>
        <v>HP</v>
      </c>
      <c r="C257" s="32" t="s">
        <v>379</v>
      </c>
      <c r="D257" s="44" t="s">
        <v>75</v>
      </c>
      <c r="E257" s="22" t="s">
        <v>74</v>
      </c>
      <c r="F257" s="22">
        <v>2023</v>
      </c>
      <c r="G257" s="22">
        <v>11</v>
      </c>
      <c r="H257" s="22" t="s">
        <v>315</v>
      </c>
      <c r="I257" s="258">
        <v>45608</v>
      </c>
      <c r="J257" s="262">
        <v>2</v>
      </c>
      <c r="K257" s="275"/>
      <c r="L257" s="259">
        <f t="shared" si="15"/>
        <v>0</v>
      </c>
      <c r="M257" s="259">
        <v>50000</v>
      </c>
      <c r="N257" s="22" t="s">
        <v>296</v>
      </c>
      <c r="O257" s="258">
        <v>45238</v>
      </c>
      <c r="P257" s="261">
        <v>64000</v>
      </c>
      <c r="Q257" s="22">
        <v>1</v>
      </c>
      <c r="R257" s="425">
        <f t="shared" si="16"/>
        <v>64000</v>
      </c>
      <c r="S257" s="22" t="s">
        <v>349</v>
      </c>
      <c r="T257" s="22" t="s">
        <v>317</v>
      </c>
      <c r="U257" s="22" t="s">
        <v>318</v>
      </c>
      <c r="V257" s="22" t="s">
        <v>372</v>
      </c>
      <c r="W257" s="428"/>
    </row>
    <row r="258" spans="1:23" s="301" customFormat="1" ht="14.45" customHeight="1">
      <c r="A258" s="272" t="s">
        <v>359</v>
      </c>
      <c r="B258" s="22" t="str">
        <f>VLOOKUP(A258,[1]Sheet1!$A:$B,2,0)</f>
        <v>HP</v>
      </c>
      <c r="C258" s="32" t="s">
        <v>380</v>
      </c>
      <c r="D258" s="44" t="s">
        <v>75</v>
      </c>
      <c r="E258" s="22" t="s">
        <v>74</v>
      </c>
      <c r="F258" s="22">
        <v>2023</v>
      </c>
      <c r="G258" s="22">
        <v>11</v>
      </c>
      <c r="H258" s="22" t="s">
        <v>315</v>
      </c>
      <c r="I258" s="258">
        <v>45608</v>
      </c>
      <c r="J258" s="262">
        <v>2</v>
      </c>
      <c r="K258" s="275"/>
      <c r="L258" s="259">
        <f t="shared" si="15"/>
        <v>0</v>
      </c>
      <c r="M258" s="259">
        <v>50000</v>
      </c>
      <c r="N258" s="22" t="s">
        <v>296</v>
      </c>
      <c r="O258" s="258">
        <v>45238</v>
      </c>
      <c r="P258" s="261">
        <v>59400</v>
      </c>
      <c r="Q258" s="22">
        <v>1</v>
      </c>
      <c r="R258" s="425">
        <f t="shared" si="16"/>
        <v>59400</v>
      </c>
      <c r="S258" s="22" t="s">
        <v>349</v>
      </c>
      <c r="T258" s="22" t="s">
        <v>317</v>
      </c>
      <c r="U258" s="22" t="s">
        <v>318</v>
      </c>
      <c r="V258" s="22" t="s">
        <v>372</v>
      </c>
      <c r="W258" s="428"/>
    </row>
    <row r="259" spans="1:23" s="301" customFormat="1" ht="14.45" customHeight="1">
      <c r="A259" s="272" t="s">
        <v>359</v>
      </c>
      <c r="B259" s="22" t="str">
        <f>VLOOKUP(A259,[1]Sheet1!$A:$B,2,0)</f>
        <v>HP</v>
      </c>
      <c r="C259" s="32" t="s">
        <v>381</v>
      </c>
      <c r="D259" s="44" t="s">
        <v>75</v>
      </c>
      <c r="E259" s="22" t="s">
        <v>74</v>
      </c>
      <c r="F259" s="22">
        <v>2023</v>
      </c>
      <c r="G259" s="22">
        <v>11</v>
      </c>
      <c r="H259" s="22" t="s">
        <v>315</v>
      </c>
      <c r="I259" s="258">
        <v>45608</v>
      </c>
      <c r="J259" s="262">
        <v>2</v>
      </c>
      <c r="K259" s="275"/>
      <c r="L259" s="259">
        <f t="shared" si="15"/>
        <v>0</v>
      </c>
      <c r="M259" s="259">
        <v>50000</v>
      </c>
      <c r="N259" s="22" t="s">
        <v>296</v>
      </c>
      <c r="O259" s="258">
        <v>45238</v>
      </c>
      <c r="P259" s="261">
        <v>41500</v>
      </c>
      <c r="Q259" s="22">
        <v>1</v>
      </c>
      <c r="R259" s="425">
        <f t="shared" si="16"/>
        <v>41500</v>
      </c>
      <c r="S259" s="22" t="s">
        <v>349</v>
      </c>
      <c r="T259" s="22" t="s">
        <v>317</v>
      </c>
      <c r="U259" s="22" t="s">
        <v>318</v>
      </c>
      <c r="V259" s="22" t="s">
        <v>372</v>
      </c>
      <c r="W259" s="428"/>
    </row>
    <row r="260" spans="1:23" s="301" customFormat="1" ht="14.45" customHeight="1">
      <c r="A260" s="272" t="s">
        <v>359</v>
      </c>
      <c r="B260" s="22" t="str">
        <f>VLOOKUP(A260,[1]Sheet1!$A:$B,2,0)</f>
        <v>HP</v>
      </c>
      <c r="C260" s="32" t="s">
        <v>109</v>
      </c>
      <c r="D260" s="44" t="s">
        <v>75</v>
      </c>
      <c r="E260" s="22" t="s">
        <v>74</v>
      </c>
      <c r="F260" s="22">
        <v>2023</v>
      </c>
      <c r="G260" s="22">
        <v>11</v>
      </c>
      <c r="H260" s="22" t="s">
        <v>315</v>
      </c>
      <c r="I260" s="258">
        <v>45608</v>
      </c>
      <c r="J260" s="299">
        <v>2</v>
      </c>
      <c r="K260" s="275"/>
      <c r="L260" s="259">
        <f t="shared" si="15"/>
        <v>0</v>
      </c>
      <c r="M260" s="259">
        <v>50000</v>
      </c>
      <c r="N260" s="22" t="s">
        <v>297</v>
      </c>
      <c r="O260" s="260">
        <v>45253</v>
      </c>
      <c r="P260" s="261">
        <v>4424.7787610619471</v>
      </c>
      <c r="Q260" s="22">
        <v>1</v>
      </c>
      <c r="R260" s="425">
        <f t="shared" si="16"/>
        <v>4424.7787610619471</v>
      </c>
      <c r="S260" s="22" t="s">
        <v>349</v>
      </c>
      <c r="T260" s="22" t="s">
        <v>317</v>
      </c>
      <c r="U260" s="22" t="s">
        <v>318</v>
      </c>
      <c r="V260" s="22" t="s">
        <v>372</v>
      </c>
      <c r="W260" s="428"/>
    </row>
    <row r="261" spans="1:23" s="301" customFormat="1" ht="14.45" customHeight="1">
      <c r="A261" s="272" t="s">
        <v>359</v>
      </c>
      <c r="B261" s="22" t="str">
        <f>VLOOKUP(A261,[1]Sheet1!$A:$B,2,0)</f>
        <v>HP</v>
      </c>
      <c r="C261" s="32" t="s">
        <v>109</v>
      </c>
      <c r="D261" s="44" t="s">
        <v>75</v>
      </c>
      <c r="E261" s="22" t="s">
        <v>74</v>
      </c>
      <c r="F261" s="22">
        <v>2023</v>
      </c>
      <c r="G261" s="22">
        <v>3</v>
      </c>
      <c r="H261" s="22" t="s">
        <v>315</v>
      </c>
      <c r="I261" s="258">
        <v>45608</v>
      </c>
      <c r="J261" s="299">
        <v>2</v>
      </c>
      <c r="K261" s="275"/>
      <c r="L261" s="259">
        <f t="shared" si="15"/>
        <v>0</v>
      </c>
      <c r="M261" s="259">
        <v>50000</v>
      </c>
      <c r="N261" s="22" t="s">
        <v>297</v>
      </c>
      <c r="O261" s="260">
        <v>45363</v>
      </c>
      <c r="P261" s="261">
        <f>6424/1.13</f>
        <v>5684.9557522123896</v>
      </c>
      <c r="Q261" s="22">
        <v>1</v>
      </c>
      <c r="R261" s="425">
        <f t="shared" si="16"/>
        <v>5684.9557522123896</v>
      </c>
      <c r="S261" s="22" t="s">
        <v>349</v>
      </c>
      <c r="T261" s="22" t="s">
        <v>317</v>
      </c>
      <c r="U261" s="22" t="s">
        <v>318</v>
      </c>
      <c r="V261" s="22" t="s">
        <v>372</v>
      </c>
      <c r="W261" s="428"/>
    </row>
    <row r="262" spans="1:23" s="301" customFormat="1" ht="14.45" customHeight="1">
      <c r="A262" s="272" t="s">
        <v>359</v>
      </c>
      <c r="B262" s="22" t="str">
        <f>VLOOKUP(A262,[1]Sheet1!$A:$B,2,0)</f>
        <v>HP</v>
      </c>
      <c r="C262" s="32" t="s">
        <v>111</v>
      </c>
      <c r="D262" s="44" t="s">
        <v>75</v>
      </c>
      <c r="E262" s="22" t="s">
        <v>74</v>
      </c>
      <c r="F262" s="22">
        <v>2023</v>
      </c>
      <c r="G262" s="22">
        <v>11</v>
      </c>
      <c r="H262" s="22" t="s">
        <v>315</v>
      </c>
      <c r="I262" s="258">
        <v>45608</v>
      </c>
      <c r="J262" s="299">
        <v>2</v>
      </c>
      <c r="K262" s="275">
        <v>360360</v>
      </c>
      <c r="L262" s="259">
        <f t="shared" si="15"/>
        <v>360360</v>
      </c>
      <c r="M262" s="259">
        <v>50000</v>
      </c>
      <c r="N262" s="22" t="s">
        <v>297</v>
      </c>
      <c r="O262" s="260">
        <v>45253</v>
      </c>
      <c r="P262" s="261">
        <v>3274.3362831858412</v>
      </c>
      <c r="Q262" s="22">
        <v>1</v>
      </c>
      <c r="R262" s="425">
        <f t="shared" si="16"/>
        <v>3274.3362831858412</v>
      </c>
      <c r="S262" s="22" t="s">
        <v>349</v>
      </c>
      <c r="T262" s="22" t="s">
        <v>317</v>
      </c>
      <c r="U262" s="22" t="s">
        <v>318</v>
      </c>
      <c r="V262" s="22" t="s">
        <v>372</v>
      </c>
      <c r="W262" s="428"/>
    </row>
    <row r="263" spans="1:23" s="301" customFormat="1" ht="14.45" customHeight="1">
      <c r="A263" s="272" t="s">
        <v>359</v>
      </c>
      <c r="B263" s="22" t="str">
        <f>VLOOKUP(A263,[1]Sheet1!$A:$B,2,0)</f>
        <v>HP</v>
      </c>
      <c r="C263" s="32" t="s">
        <v>111</v>
      </c>
      <c r="D263" s="44" t="s">
        <v>75</v>
      </c>
      <c r="E263" s="22" t="s">
        <v>74</v>
      </c>
      <c r="F263" s="22">
        <v>2024</v>
      </c>
      <c r="G263" s="22">
        <v>1</v>
      </c>
      <c r="H263" s="22" t="s">
        <v>315</v>
      </c>
      <c r="I263" s="258">
        <v>45608</v>
      </c>
      <c r="J263" s="299">
        <v>2</v>
      </c>
      <c r="K263" s="275">
        <v>360360</v>
      </c>
      <c r="L263" s="259">
        <f t="shared" si="15"/>
        <v>360360</v>
      </c>
      <c r="M263" s="259">
        <v>50000</v>
      </c>
      <c r="N263" s="22" t="s">
        <v>297</v>
      </c>
      <c r="O263" s="260">
        <v>45306</v>
      </c>
      <c r="P263" s="261">
        <v>22022</v>
      </c>
      <c r="Q263" s="22">
        <v>1</v>
      </c>
      <c r="R263" s="425">
        <f t="shared" si="16"/>
        <v>22022</v>
      </c>
      <c r="S263" s="22" t="s">
        <v>349</v>
      </c>
      <c r="T263" s="22" t="s">
        <v>317</v>
      </c>
      <c r="U263" s="22" t="s">
        <v>318</v>
      </c>
      <c r="V263" s="22" t="s">
        <v>372</v>
      </c>
      <c r="W263" s="428"/>
    </row>
    <row r="264" spans="1:23" s="301" customFormat="1" ht="14.45" customHeight="1">
      <c r="A264" s="272" t="s">
        <v>359</v>
      </c>
      <c r="B264" s="22" t="str">
        <f>VLOOKUP(A264,[1]Sheet1!$A:$B,2,0)</f>
        <v>HP</v>
      </c>
      <c r="C264" s="32" t="s">
        <v>111</v>
      </c>
      <c r="D264" s="44" t="s">
        <v>75</v>
      </c>
      <c r="E264" s="22" t="s">
        <v>74</v>
      </c>
      <c r="F264" s="22">
        <v>2024</v>
      </c>
      <c r="G264" s="22">
        <v>3</v>
      </c>
      <c r="H264" s="22" t="s">
        <v>315</v>
      </c>
      <c r="I264" s="258">
        <v>45608</v>
      </c>
      <c r="J264" s="299">
        <v>2</v>
      </c>
      <c r="K264" s="275">
        <v>360360</v>
      </c>
      <c r="L264" s="259">
        <f t="shared" si="15"/>
        <v>360360</v>
      </c>
      <c r="M264" s="259">
        <v>50000</v>
      </c>
      <c r="N264" s="22" t="s">
        <v>297</v>
      </c>
      <c r="O264" s="260">
        <v>45377</v>
      </c>
      <c r="P264" s="261">
        <v>4285</v>
      </c>
      <c r="Q264" s="22">
        <v>1</v>
      </c>
      <c r="R264" s="425">
        <f t="shared" si="16"/>
        <v>4285</v>
      </c>
      <c r="S264" s="22"/>
      <c r="T264" s="22"/>
      <c r="U264" s="22"/>
      <c r="V264" s="22"/>
      <c r="W264" s="428"/>
    </row>
    <row r="265" spans="1:23" s="301" customFormat="1" ht="14.45" customHeight="1">
      <c r="A265" s="272" t="s">
        <v>359</v>
      </c>
      <c r="B265" s="22" t="str">
        <f>VLOOKUP(A265,[1]Sheet1!$A:$B,2,0)</f>
        <v>HP</v>
      </c>
      <c r="C265" s="32" t="s">
        <v>122</v>
      </c>
      <c r="D265" s="44" t="s">
        <v>75</v>
      </c>
      <c r="E265" s="22" t="s">
        <v>74</v>
      </c>
      <c r="F265" s="22">
        <v>2023</v>
      </c>
      <c r="G265" s="22">
        <v>12</v>
      </c>
      <c r="H265" s="22" t="s">
        <v>315</v>
      </c>
      <c r="I265" s="258">
        <v>45608</v>
      </c>
      <c r="J265" s="299">
        <v>2</v>
      </c>
      <c r="K265" s="306">
        <f>382*20*26</f>
        <v>198640</v>
      </c>
      <c r="L265" s="259">
        <f t="shared" si="15"/>
        <v>198640</v>
      </c>
      <c r="M265" s="259">
        <v>50000</v>
      </c>
      <c r="N265" s="22" t="s">
        <v>297</v>
      </c>
      <c r="O265" s="260">
        <v>45274</v>
      </c>
      <c r="P265" s="261">
        <v>5684.9557522123896</v>
      </c>
      <c r="Q265" s="22">
        <v>1</v>
      </c>
      <c r="R265" s="425">
        <f t="shared" si="16"/>
        <v>5684.9557522123896</v>
      </c>
      <c r="S265" s="22" t="s">
        <v>349</v>
      </c>
      <c r="T265" s="22" t="s">
        <v>317</v>
      </c>
      <c r="U265" s="22" t="s">
        <v>318</v>
      </c>
      <c r="V265" s="22" t="s">
        <v>372</v>
      </c>
      <c r="W265" s="428"/>
    </row>
    <row r="266" spans="1:23" s="301" customFormat="1" ht="14.45" customHeight="1">
      <c r="A266" s="272" t="s">
        <v>359</v>
      </c>
      <c r="B266" s="22" t="str">
        <f>VLOOKUP(A266,[1]Sheet1!$A:$B,2,0)</f>
        <v>HP</v>
      </c>
      <c r="C266" s="32" t="s">
        <v>382</v>
      </c>
      <c r="D266" s="44" t="s">
        <v>75</v>
      </c>
      <c r="E266" s="22" t="s">
        <v>74</v>
      </c>
      <c r="F266" s="22">
        <v>2024</v>
      </c>
      <c r="G266" s="22">
        <v>1</v>
      </c>
      <c r="H266" s="22" t="s">
        <v>315</v>
      </c>
      <c r="I266" s="258">
        <v>45608</v>
      </c>
      <c r="J266" s="299">
        <v>2</v>
      </c>
      <c r="K266" s="275"/>
      <c r="L266" s="259">
        <f t="shared" si="15"/>
        <v>0</v>
      </c>
      <c r="M266" s="259">
        <v>50000</v>
      </c>
      <c r="N266" s="22" t="s">
        <v>297</v>
      </c>
      <c r="O266" s="260">
        <v>45306</v>
      </c>
      <c r="P266" s="261">
        <v>26947.787610619471</v>
      </c>
      <c r="Q266" s="22">
        <v>1</v>
      </c>
      <c r="R266" s="425">
        <f t="shared" si="16"/>
        <v>26947.787610619471</v>
      </c>
      <c r="S266" s="22" t="s">
        <v>349</v>
      </c>
      <c r="T266" s="22" t="s">
        <v>317</v>
      </c>
      <c r="U266" s="22" t="s">
        <v>318</v>
      </c>
      <c r="V266" s="22" t="s">
        <v>372</v>
      </c>
      <c r="W266" s="428"/>
    </row>
    <row r="267" spans="1:23" s="301" customFormat="1" ht="14.45" customHeight="1">
      <c r="A267" s="272" t="s">
        <v>359</v>
      </c>
      <c r="B267" s="22" t="str">
        <f>VLOOKUP(A267,[1]Sheet1!$A:$B,2,0)</f>
        <v>HP</v>
      </c>
      <c r="C267" s="32" t="s">
        <v>383</v>
      </c>
      <c r="D267" s="44" t="s">
        <v>75</v>
      </c>
      <c r="E267" s="22" t="s">
        <v>74</v>
      </c>
      <c r="F267" s="22">
        <v>2024</v>
      </c>
      <c r="G267" s="22">
        <v>1</v>
      </c>
      <c r="H267" s="22" t="s">
        <v>315</v>
      </c>
      <c r="I267" s="258">
        <v>45608</v>
      </c>
      <c r="J267" s="299">
        <v>2</v>
      </c>
      <c r="K267" s="275"/>
      <c r="L267" s="259">
        <f t="shared" si="15"/>
        <v>0</v>
      </c>
      <c r="M267" s="259">
        <v>50000</v>
      </c>
      <c r="N267" s="22" t="s">
        <v>297</v>
      </c>
      <c r="O267" s="260">
        <v>45306</v>
      </c>
      <c r="P267" s="261">
        <v>4424.7787610619471</v>
      </c>
      <c r="Q267" s="22">
        <v>1</v>
      </c>
      <c r="R267" s="425">
        <f t="shared" si="16"/>
        <v>4424.7787610619471</v>
      </c>
      <c r="S267" s="22" t="s">
        <v>349</v>
      </c>
      <c r="T267" s="22" t="s">
        <v>317</v>
      </c>
      <c r="U267" s="22" t="s">
        <v>318</v>
      </c>
      <c r="V267" s="22" t="s">
        <v>372</v>
      </c>
      <c r="W267" s="428"/>
    </row>
    <row r="268" spans="1:23" s="301" customFormat="1" ht="14.45" customHeight="1">
      <c r="A268" s="272" t="s">
        <v>359</v>
      </c>
      <c r="B268" s="22" t="str">
        <f>VLOOKUP(A268,[1]Sheet1!$A:$B,2,0)</f>
        <v>HP</v>
      </c>
      <c r="C268" s="32" t="s">
        <v>384</v>
      </c>
      <c r="D268" s="44" t="s">
        <v>75</v>
      </c>
      <c r="E268" s="22" t="s">
        <v>74</v>
      </c>
      <c r="F268" s="22">
        <v>2024</v>
      </c>
      <c r="G268" s="22">
        <v>1</v>
      </c>
      <c r="H268" s="22" t="s">
        <v>315</v>
      </c>
      <c r="I268" s="258">
        <v>45608</v>
      </c>
      <c r="J268" s="299">
        <v>2</v>
      </c>
      <c r="K268" s="275"/>
      <c r="L268" s="259">
        <f t="shared" si="15"/>
        <v>0</v>
      </c>
      <c r="M268" s="259">
        <v>50000</v>
      </c>
      <c r="N268" s="22" t="s">
        <v>297</v>
      </c>
      <c r="O268" s="260">
        <v>45308</v>
      </c>
      <c r="P268" s="261">
        <v>12212.389380530974</v>
      </c>
      <c r="Q268" s="22">
        <v>1</v>
      </c>
      <c r="R268" s="425">
        <f t="shared" si="16"/>
        <v>12212.389380530974</v>
      </c>
      <c r="S268" s="22" t="s">
        <v>349</v>
      </c>
      <c r="T268" s="22" t="s">
        <v>317</v>
      </c>
      <c r="U268" s="22" t="s">
        <v>318</v>
      </c>
      <c r="V268" s="22" t="s">
        <v>372</v>
      </c>
      <c r="W268" s="428"/>
    </row>
    <row r="269" spans="1:23" s="301" customFormat="1" ht="14.45" customHeight="1">
      <c r="A269" s="272" t="s">
        <v>359</v>
      </c>
      <c r="B269" s="22" t="str">
        <f>VLOOKUP(A269,[1]Sheet1!$A:$B,2,0)</f>
        <v>HP</v>
      </c>
      <c r="C269" s="32" t="s">
        <v>384</v>
      </c>
      <c r="D269" s="44" t="s">
        <v>75</v>
      </c>
      <c r="E269" s="22" t="s">
        <v>74</v>
      </c>
      <c r="F269" s="22">
        <v>2024</v>
      </c>
      <c r="G269" s="22">
        <v>1</v>
      </c>
      <c r="H269" s="22" t="s">
        <v>315</v>
      </c>
      <c r="I269" s="258">
        <v>45608</v>
      </c>
      <c r="J269" s="299">
        <v>2</v>
      </c>
      <c r="K269" s="275"/>
      <c r="L269" s="259">
        <f t="shared" si="15"/>
        <v>0</v>
      </c>
      <c r="M269" s="259">
        <v>50000</v>
      </c>
      <c r="N269" s="22" t="s">
        <v>297</v>
      </c>
      <c r="O269" s="260">
        <v>45314</v>
      </c>
      <c r="P269" s="261">
        <f>13500/1.13</f>
        <v>11946.902654867257</v>
      </c>
      <c r="Q269" s="22">
        <v>1</v>
      </c>
      <c r="R269" s="425">
        <f t="shared" si="16"/>
        <v>11946.902654867257</v>
      </c>
      <c r="S269" s="22" t="s">
        <v>349</v>
      </c>
      <c r="T269" s="22" t="s">
        <v>317</v>
      </c>
      <c r="U269" s="22" t="s">
        <v>318</v>
      </c>
      <c r="V269" s="22" t="s">
        <v>372</v>
      </c>
      <c r="W269" s="428"/>
    </row>
    <row r="270" spans="1:23" s="301" customFormat="1" ht="14.45" customHeight="1">
      <c r="A270" s="272" t="s">
        <v>359</v>
      </c>
      <c r="B270" s="22" t="str">
        <f>VLOOKUP(A270,[1]Sheet1!$A:$B,2,0)</f>
        <v>HP</v>
      </c>
      <c r="C270" s="32" t="s">
        <v>384</v>
      </c>
      <c r="D270" s="44" t="s">
        <v>75</v>
      </c>
      <c r="E270" s="22" t="s">
        <v>74</v>
      </c>
      <c r="F270" s="22">
        <v>2024</v>
      </c>
      <c r="G270" s="22">
        <v>3</v>
      </c>
      <c r="H270" s="22" t="s">
        <v>315</v>
      </c>
      <c r="I270" s="258">
        <v>45608</v>
      </c>
      <c r="J270" s="299">
        <v>2</v>
      </c>
      <c r="K270" s="275"/>
      <c r="L270" s="259">
        <f t="shared" si="15"/>
        <v>0</v>
      </c>
      <c r="M270" s="259">
        <v>50000</v>
      </c>
      <c r="N270" s="22" t="s">
        <v>297</v>
      </c>
      <c r="O270" s="260">
        <v>45363</v>
      </c>
      <c r="P270" s="261">
        <v>14585</v>
      </c>
      <c r="Q270" s="22">
        <v>1</v>
      </c>
      <c r="R270" s="425">
        <f t="shared" ref="R270" si="17">P270*Q270</f>
        <v>14585</v>
      </c>
      <c r="S270" s="22" t="s">
        <v>349</v>
      </c>
      <c r="T270" s="22" t="s">
        <v>317</v>
      </c>
      <c r="U270" s="22" t="s">
        <v>318</v>
      </c>
      <c r="V270" s="22" t="s">
        <v>372</v>
      </c>
      <c r="W270" s="428"/>
    </row>
    <row r="271" spans="1:23" s="301" customFormat="1" ht="14.45" customHeight="1">
      <c r="A271" s="272" t="s">
        <v>359</v>
      </c>
      <c r="B271" s="22" t="str">
        <f>VLOOKUP(A271,[1]Sheet1!$A:$B,2,0)</f>
        <v>HP</v>
      </c>
      <c r="C271" s="32" t="s">
        <v>373</v>
      </c>
      <c r="D271" s="44" t="s">
        <v>75</v>
      </c>
      <c r="E271" s="22" t="s">
        <v>74</v>
      </c>
      <c r="F271" s="22">
        <v>2024</v>
      </c>
      <c r="G271" s="22">
        <v>3</v>
      </c>
      <c r="H271" s="22" t="s">
        <v>315</v>
      </c>
      <c r="I271" s="258">
        <v>45608</v>
      </c>
      <c r="J271" s="299">
        <v>2</v>
      </c>
      <c r="K271" s="275"/>
      <c r="L271" s="259">
        <f t="shared" si="15"/>
        <v>0</v>
      </c>
      <c r="M271" s="259">
        <v>50000</v>
      </c>
      <c r="N271" s="22" t="s">
        <v>297</v>
      </c>
      <c r="O271" s="260">
        <v>45363</v>
      </c>
      <c r="P271" s="261">
        <v>7796.4601769911515</v>
      </c>
      <c r="Q271" s="22">
        <v>1</v>
      </c>
      <c r="R271" s="425">
        <f t="shared" si="16"/>
        <v>7796.4601769911515</v>
      </c>
      <c r="S271" s="22" t="s">
        <v>349</v>
      </c>
      <c r="T271" s="22" t="s">
        <v>317</v>
      </c>
      <c r="U271" s="22" t="s">
        <v>318</v>
      </c>
      <c r="V271" s="22" t="s">
        <v>372</v>
      </c>
      <c r="W271" s="428"/>
    </row>
    <row r="272" spans="1:23" s="301" customFormat="1" ht="14.45" customHeight="1">
      <c r="A272" s="272" t="s">
        <v>359</v>
      </c>
      <c r="B272" s="22" t="str">
        <f>VLOOKUP(A272,[1]Sheet1!$A:$B,2,0)</f>
        <v>HP</v>
      </c>
      <c r="C272" s="32" t="s">
        <v>385</v>
      </c>
      <c r="D272" s="44" t="s">
        <v>75</v>
      </c>
      <c r="E272" s="22" t="s">
        <v>74</v>
      </c>
      <c r="F272" s="22">
        <v>2024</v>
      </c>
      <c r="G272" s="22">
        <v>3</v>
      </c>
      <c r="H272" s="22" t="s">
        <v>315</v>
      </c>
      <c r="I272" s="258">
        <v>45608</v>
      </c>
      <c r="J272" s="299">
        <v>2</v>
      </c>
      <c r="K272" s="275"/>
      <c r="L272" s="259">
        <f t="shared" si="15"/>
        <v>0</v>
      </c>
      <c r="M272" s="259">
        <v>50000</v>
      </c>
      <c r="N272" s="22" t="s">
        <v>297</v>
      </c>
      <c r="O272" s="260">
        <v>45363</v>
      </c>
      <c r="P272" s="261">
        <v>20579.646017699117</v>
      </c>
      <c r="Q272" s="22">
        <v>1</v>
      </c>
      <c r="R272" s="425">
        <f t="shared" si="16"/>
        <v>20579.646017699117</v>
      </c>
      <c r="S272" s="22" t="s">
        <v>349</v>
      </c>
      <c r="T272" s="22" t="s">
        <v>317</v>
      </c>
      <c r="U272" s="22" t="s">
        <v>318</v>
      </c>
      <c r="V272" s="22" t="s">
        <v>372</v>
      </c>
      <c r="W272" s="428"/>
    </row>
    <row r="273" spans="1:26" s="301" customFormat="1" ht="14.45" customHeight="1">
      <c r="A273" s="272" t="s">
        <v>359</v>
      </c>
      <c r="B273" s="22" t="str">
        <f>VLOOKUP(A273,[1]Sheet1!$A:$B,2,0)</f>
        <v>HP</v>
      </c>
      <c r="C273" s="32" t="s">
        <v>386</v>
      </c>
      <c r="D273" s="44" t="s">
        <v>75</v>
      </c>
      <c r="E273" s="22" t="s">
        <v>74</v>
      </c>
      <c r="F273" s="22">
        <v>2024</v>
      </c>
      <c r="G273" s="22">
        <v>3</v>
      </c>
      <c r="H273" s="22" t="s">
        <v>315</v>
      </c>
      <c r="I273" s="258">
        <v>45608</v>
      </c>
      <c r="J273" s="299">
        <v>2</v>
      </c>
      <c r="K273" s="275"/>
      <c r="L273" s="259">
        <f t="shared" si="15"/>
        <v>0</v>
      </c>
      <c r="M273" s="259">
        <v>50000</v>
      </c>
      <c r="N273" s="22" t="s">
        <v>297</v>
      </c>
      <c r="O273" s="260">
        <v>45377</v>
      </c>
      <c r="P273" s="261">
        <v>7507.9646017699124</v>
      </c>
      <c r="Q273" s="22">
        <v>1</v>
      </c>
      <c r="R273" s="425">
        <f t="shared" si="16"/>
        <v>7507.9646017699124</v>
      </c>
      <c r="S273" s="22" t="s">
        <v>349</v>
      </c>
      <c r="T273" s="22" t="s">
        <v>317</v>
      </c>
      <c r="U273" s="22" t="s">
        <v>318</v>
      </c>
      <c r="V273" s="22" t="s">
        <v>372</v>
      </c>
      <c r="W273" s="428"/>
    </row>
    <row r="274" spans="1:26" s="301" customFormat="1" ht="14.45" customHeight="1">
      <c r="A274" s="272" t="s">
        <v>18</v>
      </c>
      <c r="B274" s="22" t="str">
        <f>VLOOKUP(A274,[1]Sheet1!$A:$B,2,0)</f>
        <v>RCS POD</v>
      </c>
      <c r="C274" s="274" t="s">
        <v>104</v>
      </c>
      <c r="D274" s="44" t="s">
        <v>75</v>
      </c>
      <c r="E274" s="22" t="s">
        <v>74</v>
      </c>
      <c r="F274" s="22">
        <v>2024</v>
      </c>
      <c r="G274" s="22">
        <v>10</v>
      </c>
      <c r="H274" s="22" t="s">
        <v>325</v>
      </c>
      <c r="I274" s="258">
        <v>45608</v>
      </c>
      <c r="J274" s="282">
        <v>48</v>
      </c>
      <c r="K274" s="305">
        <v>2965248</v>
      </c>
      <c r="L274" s="259">
        <f t="shared" si="15"/>
        <v>2965248</v>
      </c>
      <c r="M274" s="259">
        <v>1000000</v>
      </c>
      <c r="N274" s="22" t="s">
        <v>299</v>
      </c>
      <c r="O274" s="260">
        <v>45595</v>
      </c>
      <c r="P274" s="261">
        <v>112389.5</v>
      </c>
      <c r="Q274" s="22">
        <v>1</v>
      </c>
      <c r="R274" s="425">
        <f t="shared" si="16"/>
        <v>112389.5</v>
      </c>
      <c r="S274" s="22" t="s">
        <v>349</v>
      </c>
      <c r="T274" s="22" t="s">
        <v>317</v>
      </c>
      <c r="U274" s="22" t="s">
        <v>318</v>
      </c>
      <c r="V274" s="264" t="s">
        <v>387</v>
      </c>
      <c r="W274" s="428"/>
    </row>
    <row r="275" spans="1:26" s="301" customFormat="1" ht="14.45" customHeight="1">
      <c r="A275" s="22" t="s">
        <v>130</v>
      </c>
      <c r="B275" s="22" t="str">
        <f>VLOOKUP(A275,[1]Sheet1!$A:$B,2,0)</f>
        <v>MODI</v>
      </c>
      <c r="C275" s="274" t="s">
        <v>104</v>
      </c>
      <c r="D275" s="44">
        <v>130040670023445</v>
      </c>
      <c r="E275" s="22" t="s">
        <v>74</v>
      </c>
      <c r="F275" s="22">
        <v>2024</v>
      </c>
      <c r="G275" s="22">
        <v>11</v>
      </c>
      <c r="H275" s="22" t="s">
        <v>315</v>
      </c>
      <c r="I275" s="258">
        <v>45608</v>
      </c>
      <c r="J275" s="282">
        <v>2</v>
      </c>
      <c r="K275" s="275"/>
      <c r="L275" s="259">
        <f t="shared" si="15"/>
        <v>0</v>
      </c>
      <c r="M275" s="259">
        <v>50000</v>
      </c>
      <c r="N275" s="22" t="s">
        <v>297</v>
      </c>
      <c r="O275" s="260">
        <v>45597</v>
      </c>
      <c r="P275" s="261">
        <v>15044</v>
      </c>
      <c r="Q275" s="22">
        <v>1</v>
      </c>
      <c r="R275" s="425">
        <f t="shared" si="16"/>
        <v>15044</v>
      </c>
      <c r="S275" s="22" t="s">
        <v>349</v>
      </c>
      <c r="T275" s="22" t="s">
        <v>317</v>
      </c>
      <c r="U275" s="22" t="s">
        <v>318</v>
      </c>
      <c r="V275" s="264" t="s">
        <v>388</v>
      </c>
      <c r="W275" s="428"/>
    </row>
    <row r="276" spans="1:26" s="301" customFormat="1" ht="14.45" customHeight="1">
      <c r="A276" s="274" t="s">
        <v>331</v>
      </c>
      <c r="B276" s="22" t="str">
        <f>VLOOKUP(A276,[1]Sheet1!$A:$B,2,0)</f>
        <v>RCS POD</v>
      </c>
      <c r="C276" s="32" t="s">
        <v>100</v>
      </c>
      <c r="D276" s="44" t="s">
        <v>75</v>
      </c>
      <c r="E276" s="22" t="s">
        <v>74</v>
      </c>
      <c r="F276" s="22">
        <v>2024</v>
      </c>
      <c r="G276" s="22">
        <v>10</v>
      </c>
      <c r="H276" s="22" t="s">
        <v>322</v>
      </c>
      <c r="I276" s="258">
        <v>45608</v>
      </c>
      <c r="J276" s="282">
        <v>48</v>
      </c>
      <c r="K276" s="275"/>
      <c r="L276" s="275">
        <f t="shared" si="15"/>
        <v>0</v>
      </c>
      <c r="M276" s="259">
        <v>1000000</v>
      </c>
      <c r="N276" s="22" t="s">
        <v>299</v>
      </c>
      <c r="O276" s="260">
        <v>45587</v>
      </c>
      <c r="P276" s="273">
        <v>3185.8407079646022</v>
      </c>
      <c r="Q276" s="22">
        <v>1</v>
      </c>
      <c r="R276" s="425">
        <f t="shared" si="16"/>
        <v>3185.8407079646022</v>
      </c>
      <c r="S276" s="22" t="s">
        <v>349</v>
      </c>
      <c r="T276" s="22" t="s">
        <v>317</v>
      </c>
      <c r="U276" s="22" t="s">
        <v>318</v>
      </c>
      <c r="V276" s="22"/>
      <c r="W276" s="428"/>
    </row>
    <row r="277" spans="1:26" s="301" customFormat="1" ht="14.45" customHeight="1">
      <c r="A277" s="274" t="s">
        <v>331</v>
      </c>
      <c r="B277" s="22" t="str">
        <f>VLOOKUP(A277,[1]Sheet1!$A:$B,2,0)</f>
        <v>RCS POD</v>
      </c>
      <c r="C277" s="32" t="s">
        <v>108</v>
      </c>
      <c r="D277" s="44" t="s">
        <v>75</v>
      </c>
      <c r="E277" s="22" t="s">
        <v>74</v>
      </c>
      <c r="F277" s="22">
        <v>2024</v>
      </c>
      <c r="G277" s="22">
        <v>7</v>
      </c>
      <c r="H277" s="22" t="s">
        <v>322</v>
      </c>
      <c r="I277" s="258">
        <v>45608</v>
      </c>
      <c r="J277" s="282">
        <v>48</v>
      </c>
      <c r="K277" s="275"/>
      <c r="L277" s="275"/>
      <c r="M277" s="259">
        <v>1000000</v>
      </c>
      <c r="N277" s="22" t="s">
        <v>299</v>
      </c>
      <c r="O277" s="308">
        <v>45495</v>
      </c>
      <c r="P277" s="273">
        <v>2256.6371681415931</v>
      </c>
      <c r="Q277" s="22">
        <v>1</v>
      </c>
      <c r="R277" s="425">
        <f t="shared" si="16"/>
        <v>2256.6371681415931</v>
      </c>
      <c r="S277" s="22" t="s">
        <v>349</v>
      </c>
      <c r="T277" s="22" t="s">
        <v>317</v>
      </c>
      <c r="U277" s="22" t="s">
        <v>318</v>
      </c>
      <c r="V277" s="22"/>
      <c r="W277" s="428"/>
    </row>
    <row r="278" spans="1:26" s="301" customFormat="1" ht="14.45" customHeight="1">
      <c r="A278" s="266" t="s">
        <v>340</v>
      </c>
      <c r="B278" s="22" t="str">
        <f>VLOOKUP(A278,[1]Sheet1!$A:$B,2,0)</f>
        <v>HP</v>
      </c>
      <c r="C278" s="266" t="s">
        <v>122</v>
      </c>
      <c r="D278" s="44">
        <v>230000960202007</v>
      </c>
      <c r="E278" s="22" t="s">
        <v>74</v>
      </c>
      <c r="F278" s="22">
        <v>2024</v>
      </c>
      <c r="G278" s="22">
        <v>10</v>
      </c>
      <c r="H278" s="22" t="s">
        <v>315</v>
      </c>
      <c r="I278" s="258">
        <v>45608</v>
      </c>
      <c r="J278" s="299">
        <v>2</v>
      </c>
      <c r="K278" s="275"/>
      <c r="L278" s="259">
        <f t="shared" ref="L278:L285" si="18">K278*Q278</f>
        <v>0</v>
      </c>
      <c r="M278" s="259">
        <v>50000</v>
      </c>
      <c r="N278" s="22" t="s">
        <v>297</v>
      </c>
      <c r="O278" s="267">
        <v>45589</v>
      </c>
      <c r="P278" s="273">
        <f>9636</f>
        <v>9636</v>
      </c>
      <c r="Q278" s="22">
        <v>1</v>
      </c>
      <c r="R278" s="425">
        <f t="shared" si="16"/>
        <v>9636</v>
      </c>
      <c r="S278" s="22" t="s">
        <v>316</v>
      </c>
      <c r="T278" s="22" t="s">
        <v>317</v>
      </c>
      <c r="U278" s="22" t="s">
        <v>318</v>
      </c>
      <c r="V278" s="22"/>
      <c r="W278" s="428"/>
    </row>
    <row r="279" spans="1:26" s="301" customFormat="1" ht="14.45" customHeight="1">
      <c r="A279" s="266" t="s">
        <v>340</v>
      </c>
      <c r="B279" s="22" t="str">
        <f>VLOOKUP(A279,[1]Sheet1!$A:$B,2,0)</f>
        <v>HP</v>
      </c>
      <c r="C279" s="266" t="s">
        <v>345</v>
      </c>
      <c r="D279" s="44">
        <v>230000960202006</v>
      </c>
      <c r="E279" s="22" t="s">
        <v>74</v>
      </c>
      <c r="F279" s="22">
        <v>2024</v>
      </c>
      <c r="G279" s="22">
        <v>10</v>
      </c>
      <c r="H279" s="22" t="s">
        <v>315</v>
      </c>
      <c r="I279" s="258">
        <v>45608</v>
      </c>
      <c r="J279" s="299" t="s">
        <v>389</v>
      </c>
      <c r="K279" s="275"/>
      <c r="L279" s="259">
        <f t="shared" si="18"/>
        <v>0</v>
      </c>
      <c r="M279" s="259">
        <v>50000</v>
      </c>
      <c r="N279" s="22" t="s">
        <v>297</v>
      </c>
      <c r="O279" s="267">
        <v>45589</v>
      </c>
      <c r="P279" s="273">
        <v>15482</v>
      </c>
      <c r="Q279" s="22">
        <v>1</v>
      </c>
      <c r="R279" s="425">
        <f t="shared" si="16"/>
        <v>15482</v>
      </c>
      <c r="S279" s="22" t="s">
        <v>316</v>
      </c>
      <c r="T279" s="22" t="s">
        <v>317</v>
      </c>
      <c r="U279" s="22" t="s">
        <v>318</v>
      </c>
      <c r="V279" s="22"/>
      <c r="W279" s="428"/>
    </row>
    <row r="280" spans="1:26" customFormat="1" ht="14.45" customHeight="1">
      <c r="A280" s="22" t="s">
        <v>106</v>
      </c>
      <c r="B280" s="22" t="str">
        <f>VLOOKUP(A280,[1]Sheet1!$A:$B,2,0)</f>
        <v>MODI</v>
      </c>
      <c r="C280" s="266" t="s">
        <v>111</v>
      </c>
      <c r="D280" s="44">
        <v>130040670018919</v>
      </c>
      <c r="E280" s="22" t="s">
        <v>74</v>
      </c>
      <c r="F280" s="22">
        <v>2024</v>
      </c>
      <c r="G280" s="22">
        <v>12</v>
      </c>
      <c r="H280" s="22" t="s">
        <v>325</v>
      </c>
      <c r="I280" s="258">
        <v>45608</v>
      </c>
      <c r="J280" s="283">
        <v>2</v>
      </c>
      <c r="K280" s="284"/>
      <c r="L280" s="259">
        <f t="shared" si="18"/>
        <v>0</v>
      </c>
      <c r="M280" s="259">
        <v>50000</v>
      </c>
      <c r="N280" s="22" t="s">
        <v>297</v>
      </c>
      <c r="O280" s="267">
        <v>45271</v>
      </c>
      <c r="P280" s="220">
        <v>5575.2212389380538</v>
      </c>
      <c r="Q280" s="22">
        <v>1</v>
      </c>
      <c r="R280" s="425">
        <f t="shared" si="16"/>
        <v>5575.2212389380538</v>
      </c>
      <c r="S280" s="22" t="s">
        <v>316</v>
      </c>
      <c r="T280" s="22" t="s">
        <v>317</v>
      </c>
      <c r="U280" s="22" t="s">
        <v>318</v>
      </c>
      <c r="V280" s="285"/>
      <c r="W280" s="428"/>
      <c r="X280" s="301"/>
      <c r="Y280" s="301"/>
      <c r="Z280" s="301"/>
    </row>
    <row r="281" spans="1:26" customFormat="1" ht="14.45" customHeight="1">
      <c r="A281" s="22" t="s">
        <v>106</v>
      </c>
      <c r="B281" s="22" t="str">
        <f>VLOOKUP(A281,[1]Sheet1!$A:$B,2,0)</f>
        <v>MODI</v>
      </c>
      <c r="C281" s="32" t="s">
        <v>100</v>
      </c>
      <c r="D281" s="44">
        <v>130040670018928</v>
      </c>
      <c r="E281" s="22" t="s">
        <v>74</v>
      </c>
      <c r="F281" s="22">
        <v>2024</v>
      </c>
      <c r="G281" s="22">
        <v>1</v>
      </c>
      <c r="H281" s="22" t="s">
        <v>315</v>
      </c>
      <c r="I281" s="258">
        <v>45608</v>
      </c>
      <c r="J281" s="283">
        <v>2</v>
      </c>
      <c r="K281" s="284"/>
      <c r="L281" s="259">
        <f t="shared" si="18"/>
        <v>0</v>
      </c>
      <c r="M281" s="259">
        <v>50000</v>
      </c>
      <c r="N281" s="22" t="s">
        <v>297</v>
      </c>
      <c r="O281" s="267">
        <v>45295</v>
      </c>
      <c r="P281" s="273">
        <v>8442.4778761061953</v>
      </c>
      <c r="Q281" s="22">
        <v>1</v>
      </c>
      <c r="R281" s="425">
        <f t="shared" si="16"/>
        <v>8442.4778761061953</v>
      </c>
      <c r="S281" s="22" t="s">
        <v>316</v>
      </c>
      <c r="T281" s="22" t="s">
        <v>317</v>
      </c>
      <c r="U281" s="22" t="s">
        <v>318</v>
      </c>
      <c r="V281" s="285"/>
      <c r="W281" s="428"/>
      <c r="X281" s="301"/>
      <c r="Y281" s="301"/>
      <c r="Z281" s="301"/>
    </row>
    <row r="282" spans="1:26" customFormat="1" ht="14.45" customHeight="1">
      <c r="A282" s="22" t="s">
        <v>113</v>
      </c>
      <c r="B282" s="22" t="str">
        <f>VLOOKUP(A282,[1]Sheet1!$A:$B,2,0)</f>
        <v>MODI</v>
      </c>
      <c r="C282" s="272" t="s">
        <v>323</v>
      </c>
      <c r="D282" s="44">
        <v>130040670023906</v>
      </c>
      <c r="E282" s="22" t="s">
        <v>74</v>
      </c>
      <c r="F282" s="22">
        <v>2024</v>
      </c>
      <c r="G282" s="22">
        <v>4</v>
      </c>
      <c r="H282" s="22" t="s">
        <v>325</v>
      </c>
      <c r="I282" s="258">
        <v>45608</v>
      </c>
      <c r="J282" s="283">
        <v>2</v>
      </c>
      <c r="K282" s="284"/>
      <c r="L282" s="259">
        <f t="shared" si="18"/>
        <v>0</v>
      </c>
      <c r="M282" s="259">
        <v>50000</v>
      </c>
      <c r="N282" s="22" t="s">
        <v>297</v>
      </c>
      <c r="O282" s="267">
        <v>45393</v>
      </c>
      <c r="P282" s="273">
        <v>5752</v>
      </c>
      <c r="Q282" s="22">
        <v>1</v>
      </c>
      <c r="R282" s="425">
        <f t="shared" si="16"/>
        <v>5752</v>
      </c>
      <c r="S282" s="22" t="s">
        <v>316</v>
      </c>
      <c r="T282" s="22" t="s">
        <v>317</v>
      </c>
      <c r="U282" s="22" t="s">
        <v>318</v>
      </c>
      <c r="V282" s="285"/>
      <c r="W282" s="429" t="s">
        <v>330</v>
      </c>
      <c r="X282" s="301"/>
      <c r="Y282" s="301"/>
      <c r="Z282" s="301"/>
    </row>
    <row r="283" spans="1:26" customFormat="1" ht="14.45" customHeight="1">
      <c r="A283" s="22" t="s">
        <v>106</v>
      </c>
      <c r="B283" s="22" t="str">
        <f>VLOOKUP(A283,[1]Sheet1!$A:$B,2,0)</f>
        <v>MODI</v>
      </c>
      <c r="C283" s="412" t="s">
        <v>104</v>
      </c>
      <c r="D283" s="44">
        <v>130040670018929</v>
      </c>
      <c r="E283" s="22" t="s">
        <v>74</v>
      </c>
      <c r="F283" s="22">
        <v>2024</v>
      </c>
      <c r="G283" s="22">
        <v>12</v>
      </c>
      <c r="H283" s="22" t="s">
        <v>325</v>
      </c>
      <c r="I283" s="258">
        <v>45660</v>
      </c>
      <c r="J283" s="262">
        <v>2</v>
      </c>
      <c r="K283" s="259">
        <v>2490280</v>
      </c>
      <c r="L283" s="259">
        <f t="shared" si="18"/>
        <v>2490280</v>
      </c>
      <c r="M283" s="259">
        <v>1000000</v>
      </c>
      <c r="N283" s="22" t="s">
        <v>297</v>
      </c>
      <c r="O283" s="413">
        <v>45628</v>
      </c>
      <c r="P283" s="414">
        <v>8460</v>
      </c>
      <c r="Q283" s="22">
        <v>1</v>
      </c>
      <c r="R283" s="425">
        <f t="shared" si="16"/>
        <v>8460</v>
      </c>
      <c r="S283" s="22" t="s">
        <v>316</v>
      </c>
      <c r="T283" s="22" t="s">
        <v>317</v>
      </c>
      <c r="U283" s="22" t="s">
        <v>318</v>
      </c>
      <c r="V283" s="22"/>
      <c r="W283" s="428"/>
      <c r="X283" s="301"/>
      <c r="Y283" s="301"/>
      <c r="Z283" s="301"/>
    </row>
    <row r="284" spans="1:26" customFormat="1" ht="14.45" customHeight="1">
      <c r="A284" s="22" t="s">
        <v>106</v>
      </c>
      <c r="B284" s="22" t="str">
        <f>VLOOKUP(A284,[1]Sheet1!$A:$B,2,0)</f>
        <v>MODI</v>
      </c>
      <c r="C284" s="412" t="s">
        <v>108</v>
      </c>
      <c r="D284" s="44">
        <v>130040670018930</v>
      </c>
      <c r="E284" s="22" t="s">
        <v>74</v>
      </c>
      <c r="F284" s="22">
        <v>2024</v>
      </c>
      <c r="G284" s="22">
        <v>12</v>
      </c>
      <c r="H284" s="22" t="s">
        <v>325</v>
      </c>
      <c r="I284" s="258">
        <v>45660</v>
      </c>
      <c r="J284" s="262">
        <v>2</v>
      </c>
      <c r="K284" s="275">
        <v>2490280</v>
      </c>
      <c r="L284" s="259">
        <f t="shared" si="18"/>
        <v>2490280</v>
      </c>
      <c r="M284" s="259">
        <v>1000000</v>
      </c>
      <c r="N284" s="22" t="s">
        <v>297</v>
      </c>
      <c r="O284" s="413">
        <v>45628</v>
      </c>
      <c r="P284" s="414">
        <v>7780</v>
      </c>
      <c r="Q284" s="22">
        <v>1</v>
      </c>
      <c r="R284" s="425">
        <f t="shared" si="16"/>
        <v>7780</v>
      </c>
      <c r="S284" s="22" t="s">
        <v>316</v>
      </c>
      <c r="T284" s="22" t="s">
        <v>317</v>
      </c>
      <c r="U284" s="22" t="s">
        <v>318</v>
      </c>
      <c r="V284" s="22"/>
      <c r="W284" s="428"/>
      <c r="X284" s="301"/>
      <c r="Y284" s="301"/>
      <c r="Z284" s="301"/>
    </row>
    <row r="285" spans="1:26" customFormat="1" ht="14.45" customHeight="1">
      <c r="A285" s="22" t="s">
        <v>106</v>
      </c>
      <c r="B285" s="22" t="str">
        <f>VLOOKUP(A285,[1]Sheet1!$A:$B,2,0)</f>
        <v>MODI</v>
      </c>
      <c r="C285" s="412" t="s">
        <v>112</v>
      </c>
      <c r="D285" s="44">
        <v>130040670018925</v>
      </c>
      <c r="E285" s="22" t="s">
        <v>74</v>
      </c>
      <c r="F285" s="22">
        <v>2024</v>
      </c>
      <c r="G285" s="22">
        <v>12</v>
      </c>
      <c r="H285" s="22" t="s">
        <v>325</v>
      </c>
      <c r="I285" s="258">
        <v>45660</v>
      </c>
      <c r="J285" s="262">
        <v>2</v>
      </c>
      <c r="K285" s="275">
        <v>2817880</v>
      </c>
      <c r="L285" s="259">
        <f t="shared" si="18"/>
        <v>2817880</v>
      </c>
      <c r="M285" s="259">
        <v>1000000</v>
      </c>
      <c r="N285" s="22" t="s">
        <v>297</v>
      </c>
      <c r="O285" s="413">
        <v>45628</v>
      </c>
      <c r="P285" s="414">
        <v>4645</v>
      </c>
      <c r="Q285" s="22">
        <v>1</v>
      </c>
      <c r="R285" s="425">
        <f t="shared" si="16"/>
        <v>4645</v>
      </c>
      <c r="S285" s="22" t="s">
        <v>316</v>
      </c>
      <c r="T285" s="22" t="s">
        <v>317</v>
      </c>
      <c r="U285" s="22" t="s">
        <v>318</v>
      </c>
      <c r="V285" s="22"/>
      <c r="W285" s="428"/>
      <c r="X285" s="301"/>
      <c r="Y285" s="301"/>
      <c r="Z285" s="301"/>
    </row>
    <row r="286" spans="1:26" s="468" customFormat="1" ht="14.45" customHeight="1">
      <c r="A286" s="458" t="s">
        <v>390</v>
      </c>
      <c r="B286" s="458" t="str">
        <f>VLOOKUP(A286,[1]Sheet1!$A:$B,2,0)</f>
        <v>RCS POD</v>
      </c>
      <c r="C286" s="349" t="s">
        <v>391</v>
      </c>
      <c r="D286" s="459">
        <v>341000489</v>
      </c>
      <c r="E286" s="458" t="s">
        <v>74</v>
      </c>
      <c r="F286" s="458">
        <v>2025</v>
      </c>
      <c r="G286" s="458">
        <v>1</v>
      </c>
      <c r="H286" s="458" t="s">
        <v>325</v>
      </c>
      <c r="I286" s="460">
        <v>45702</v>
      </c>
      <c r="J286" s="461">
        <v>16</v>
      </c>
      <c r="K286" s="462">
        <v>2817880</v>
      </c>
      <c r="L286" s="463">
        <f t="shared" ref="L286" si="19">K286*Q286</f>
        <v>2817880</v>
      </c>
      <c r="M286" s="463">
        <v>1000000</v>
      </c>
      <c r="N286" s="458" t="s">
        <v>299</v>
      </c>
      <c r="O286" s="464">
        <v>45673</v>
      </c>
      <c r="P286" s="465">
        <v>12436</v>
      </c>
      <c r="Q286" s="458">
        <v>1</v>
      </c>
      <c r="R286" s="466">
        <f t="shared" ref="R286" si="20">P286*Q286</f>
        <v>12436</v>
      </c>
      <c r="S286" s="458" t="s">
        <v>316</v>
      </c>
      <c r="T286" s="458" t="s">
        <v>317</v>
      </c>
      <c r="U286" s="458" t="s">
        <v>318</v>
      </c>
      <c r="V286" s="458"/>
      <c r="W286" s="467"/>
      <c r="X286" s="457"/>
      <c r="Y286" s="457"/>
      <c r="Z286" s="457"/>
    </row>
    <row r="287" spans="1:26">
      <c r="A287" s="42"/>
    </row>
    <row r="288" spans="1:26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  <row r="617" spans="1:1">
      <c r="A617" s="42"/>
    </row>
    <row r="618" spans="1:1">
      <c r="A618" s="42"/>
    </row>
    <row r="619" spans="1:1">
      <c r="A619" s="42"/>
    </row>
    <row r="620" spans="1:1">
      <c r="A620" s="42"/>
    </row>
    <row r="621" spans="1:1">
      <c r="A621" s="42"/>
    </row>
    <row r="622" spans="1:1">
      <c r="A622" s="42"/>
    </row>
    <row r="623" spans="1:1">
      <c r="A623" s="42"/>
    </row>
    <row r="624" spans="1:1">
      <c r="A624" s="42"/>
    </row>
    <row r="625" spans="1:1">
      <c r="A625" s="42"/>
    </row>
    <row r="626" spans="1:1">
      <c r="A626" s="42"/>
    </row>
    <row r="627" spans="1:1">
      <c r="A627" s="42"/>
    </row>
    <row r="628" spans="1:1">
      <c r="A628" s="42"/>
    </row>
    <row r="629" spans="1:1">
      <c r="A629" s="42"/>
    </row>
    <row r="630" spans="1:1">
      <c r="A630" s="42"/>
    </row>
    <row r="631" spans="1:1">
      <c r="A631" s="42"/>
    </row>
    <row r="632" spans="1:1">
      <c r="A632" s="42"/>
    </row>
    <row r="633" spans="1:1">
      <c r="A633" s="42"/>
    </row>
    <row r="634" spans="1:1">
      <c r="A634" s="42"/>
    </row>
    <row r="635" spans="1:1">
      <c r="A635" s="42"/>
    </row>
    <row r="636" spans="1:1">
      <c r="A636" s="42"/>
    </row>
    <row r="637" spans="1:1">
      <c r="A637" s="42"/>
    </row>
    <row r="638" spans="1:1">
      <c r="A638" s="42"/>
    </row>
    <row r="639" spans="1:1">
      <c r="A639" s="42"/>
    </row>
    <row r="640" spans="1:1">
      <c r="A640" s="42"/>
    </row>
    <row r="641" spans="1:1">
      <c r="A641" s="42"/>
    </row>
    <row r="642" spans="1:1">
      <c r="A642" s="42"/>
    </row>
    <row r="643" spans="1:1">
      <c r="A643" s="42"/>
    </row>
    <row r="644" spans="1:1">
      <c r="A644" s="42"/>
    </row>
    <row r="645" spans="1:1">
      <c r="A645" s="42"/>
    </row>
    <row r="646" spans="1:1">
      <c r="A646" s="42"/>
    </row>
    <row r="647" spans="1:1">
      <c r="A647" s="42"/>
    </row>
    <row r="648" spans="1:1">
      <c r="A648" s="42"/>
    </row>
    <row r="649" spans="1:1">
      <c r="A649" s="42"/>
    </row>
    <row r="650" spans="1:1">
      <c r="A650" s="42"/>
    </row>
    <row r="651" spans="1:1">
      <c r="A651" s="42"/>
    </row>
    <row r="652" spans="1:1">
      <c r="A652" s="42"/>
    </row>
    <row r="653" spans="1:1">
      <c r="A653" s="42"/>
    </row>
    <row r="654" spans="1:1">
      <c r="A654" s="42"/>
    </row>
    <row r="655" spans="1:1">
      <c r="A655" s="42"/>
    </row>
    <row r="656" spans="1:1">
      <c r="A656" s="42"/>
    </row>
    <row r="657" spans="1:1">
      <c r="A657" s="42"/>
    </row>
    <row r="658" spans="1:1">
      <c r="A658" s="42"/>
    </row>
    <row r="659" spans="1:1">
      <c r="A659" s="42"/>
    </row>
    <row r="660" spans="1:1">
      <c r="A660" s="42"/>
    </row>
    <row r="661" spans="1:1">
      <c r="A661" s="42"/>
    </row>
    <row r="662" spans="1:1">
      <c r="A662" s="42"/>
    </row>
    <row r="663" spans="1:1">
      <c r="A663" s="42"/>
    </row>
    <row r="664" spans="1:1">
      <c r="A664" s="42"/>
    </row>
    <row r="665" spans="1:1">
      <c r="A665" s="42"/>
    </row>
    <row r="666" spans="1:1">
      <c r="A666" s="42"/>
    </row>
    <row r="667" spans="1:1">
      <c r="A667" s="42"/>
    </row>
    <row r="668" spans="1:1">
      <c r="A668" s="42"/>
    </row>
    <row r="669" spans="1:1">
      <c r="A669" s="42"/>
    </row>
    <row r="670" spans="1:1">
      <c r="A670" s="42"/>
    </row>
    <row r="671" spans="1:1">
      <c r="A671" s="42"/>
    </row>
    <row r="672" spans="1:1">
      <c r="A672" s="42"/>
    </row>
    <row r="673" spans="1:1">
      <c r="A673" s="42"/>
    </row>
    <row r="674" spans="1:1">
      <c r="A674" s="42"/>
    </row>
    <row r="675" spans="1:1">
      <c r="A675" s="42"/>
    </row>
    <row r="676" spans="1:1">
      <c r="A676" s="42"/>
    </row>
    <row r="677" spans="1:1">
      <c r="A677" s="42"/>
    </row>
    <row r="678" spans="1:1">
      <c r="A678" s="42"/>
    </row>
    <row r="679" spans="1:1">
      <c r="A679" s="42"/>
    </row>
    <row r="680" spans="1:1">
      <c r="A680" s="42"/>
    </row>
    <row r="681" spans="1:1">
      <c r="A681" s="42"/>
    </row>
    <row r="682" spans="1:1">
      <c r="A682" s="42"/>
    </row>
    <row r="683" spans="1:1">
      <c r="A683" s="42"/>
    </row>
    <row r="684" spans="1:1">
      <c r="A684" s="42"/>
    </row>
    <row r="685" spans="1:1">
      <c r="A685" s="42"/>
    </row>
    <row r="686" spans="1:1">
      <c r="A686" s="42"/>
    </row>
    <row r="687" spans="1:1">
      <c r="A687" s="42"/>
    </row>
    <row r="688" spans="1:1">
      <c r="A688" s="42"/>
    </row>
    <row r="689" spans="1:1">
      <c r="A689" s="42"/>
    </row>
    <row r="690" spans="1:1">
      <c r="A690" s="42"/>
    </row>
    <row r="691" spans="1:1">
      <c r="A691" s="42"/>
    </row>
    <row r="692" spans="1:1">
      <c r="A692" s="42"/>
    </row>
    <row r="693" spans="1:1">
      <c r="A693" s="42"/>
    </row>
    <row r="694" spans="1:1">
      <c r="A694" s="42"/>
    </row>
    <row r="695" spans="1:1">
      <c r="A695" s="42"/>
    </row>
    <row r="696" spans="1:1">
      <c r="A696" s="42"/>
    </row>
    <row r="697" spans="1:1">
      <c r="A697" s="42"/>
    </row>
    <row r="698" spans="1:1">
      <c r="A698" s="42"/>
    </row>
    <row r="699" spans="1:1">
      <c r="A699" s="42"/>
    </row>
    <row r="700" spans="1:1">
      <c r="A700" s="42"/>
    </row>
    <row r="701" spans="1:1">
      <c r="A701" s="42"/>
    </row>
    <row r="702" spans="1:1">
      <c r="A702" s="42"/>
    </row>
    <row r="703" spans="1:1">
      <c r="A703" s="42"/>
    </row>
    <row r="704" spans="1:1">
      <c r="A704" s="42"/>
    </row>
    <row r="705" spans="1:1">
      <c r="A705" s="42"/>
    </row>
    <row r="706" spans="1:1">
      <c r="A706" s="42"/>
    </row>
    <row r="707" spans="1:1">
      <c r="A707" s="42"/>
    </row>
    <row r="708" spans="1:1">
      <c r="A708" s="42"/>
    </row>
    <row r="709" spans="1:1">
      <c r="A709" s="42"/>
    </row>
    <row r="710" spans="1:1">
      <c r="A710" s="42"/>
    </row>
    <row r="711" spans="1:1">
      <c r="A711" s="42"/>
    </row>
    <row r="712" spans="1:1">
      <c r="A712" s="42"/>
    </row>
    <row r="713" spans="1:1">
      <c r="A713" s="42"/>
    </row>
    <row r="714" spans="1:1">
      <c r="A714" s="42"/>
    </row>
    <row r="715" spans="1:1">
      <c r="A715" s="42"/>
    </row>
    <row r="716" spans="1:1">
      <c r="A716" s="42"/>
    </row>
    <row r="717" spans="1:1">
      <c r="A717" s="42"/>
    </row>
    <row r="718" spans="1:1">
      <c r="A718" s="42"/>
    </row>
    <row r="719" spans="1:1">
      <c r="A719" s="42"/>
    </row>
    <row r="720" spans="1:1">
      <c r="A720" s="42"/>
    </row>
    <row r="721" spans="1:1">
      <c r="A721" s="42"/>
    </row>
    <row r="722" spans="1:1">
      <c r="A722" s="42"/>
    </row>
    <row r="723" spans="1:1">
      <c r="A723" s="42"/>
    </row>
    <row r="724" spans="1:1">
      <c r="A724" s="42"/>
    </row>
    <row r="725" spans="1:1">
      <c r="A725" s="42"/>
    </row>
    <row r="726" spans="1:1">
      <c r="A726" s="42"/>
    </row>
    <row r="727" spans="1:1">
      <c r="A727" s="42"/>
    </row>
    <row r="728" spans="1:1">
      <c r="A728" s="42"/>
    </row>
    <row r="729" spans="1:1">
      <c r="A729" s="42"/>
    </row>
    <row r="730" spans="1:1">
      <c r="A730" s="42"/>
    </row>
    <row r="731" spans="1:1">
      <c r="A731" s="42"/>
    </row>
    <row r="732" spans="1:1">
      <c r="A732" s="42"/>
    </row>
    <row r="733" spans="1:1">
      <c r="A733" s="42"/>
    </row>
    <row r="734" spans="1:1">
      <c r="A734" s="42"/>
    </row>
    <row r="735" spans="1:1">
      <c r="A735" s="42"/>
    </row>
    <row r="736" spans="1:1">
      <c r="A736" s="42"/>
    </row>
    <row r="737" spans="1:1">
      <c r="A737" s="42"/>
    </row>
    <row r="738" spans="1:1">
      <c r="A738" s="42"/>
    </row>
    <row r="739" spans="1:1">
      <c r="A739" s="42"/>
    </row>
    <row r="740" spans="1:1">
      <c r="A740" s="42"/>
    </row>
    <row r="741" spans="1:1">
      <c r="A741" s="42"/>
    </row>
    <row r="742" spans="1:1">
      <c r="A742" s="42"/>
    </row>
    <row r="743" spans="1:1">
      <c r="A743" s="42"/>
    </row>
    <row r="744" spans="1:1">
      <c r="A744" s="42"/>
    </row>
    <row r="745" spans="1:1">
      <c r="A745" s="42"/>
    </row>
    <row r="746" spans="1:1">
      <c r="A746" s="42"/>
    </row>
    <row r="747" spans="1:1">
      <c r="A747" s="42"/>
    </row>
    <row r="748" spans="1:1">
      <c r="A748" s="42"/>
    </row>
    <row r="749" spans="1:1">
      <c r="A749" s="42"/>
    </row>
    <row r="750" spans="1:1">
      <c r="A750" s="42"/>
    </row>
    <row r="751" spans="1:1">
      <c r="A751" s="42"/>
    </row>
    <row r="752" spans="1:1">
      <c r="A752" s="42"/>
    </row>
    <row r="753" spans="1:1">
      <c r="A753" s="42"/>
    </row>
    <row r="754" spans="1:1">
      <c r="A754" s="42"/>
    </row>
    <row r="755" spans="1:1">
      <c r="A755" s="42"/>
    </row>
    <row r="756" spans="1:1">
      <c r="A756" s="42"/>
    </row>
    <row r="757" spans="1:1">
      <c r="A757" s="42"/>
    </row>
    <row r="758" spans="1:1">
      <c r="A758" s="42"/>
    </row>
    <row r="759" spans="1:1">
      <c r="A759" s="42"/>
    </row>
    <row r="760" spans="1:1">
      <c r="A760" s="42"/>
    </row>
    <row r="761" spans="1:1">
      <c r="A761" s="42"/>
    </row>
    <row r="762" spans="1:1">
      <c r="A762" s="42"/>
    </row>
    <row r="763" spans="1:1">
      <c r="A763" s="42"/>
    </row>
    <row r="764" spans="1:1">
      <c r="A764" s="42"/>
    </row>
    <row r="765" spans="1:1">
      <c r="A765" s="42"/>
    </row>
    <row r="766" spans="1:1">
      <c r="A766" s="42"/>
    </row>
    <row r="767" spans="1:1">
      <c r="A767" s="42"/>
    </row>
    <row r="768" spans="1:1">
      <c r="A768" s="42"/>
    </row>
    <row r="769" spans="1:1">
      <c r="A769" s="42"/>
    </row>
    <row r="770" spans="1:1">
      <c r="A770" s="42"/>
    </row>
    <row r="771" spans="1:1">
      <c r="A771" s="42"/>
    </row>
    <row r="772" spans="1:1">
      <c r="A772" s="42"/>
    </row>
    <row r="773" spans="1:1">
      <c r="A773" s="42"/>
    </row>
    <row r="774" spans="1:1">
      <c r="A774" s="42"/>
    </row>
    <row r="775" spans="1:1">
      <c r="A775" s="42"/>
    </row>
    <row r="776" spans="1:1">
      <c r="A776" s="42"/>
    </row>
    <row r="777" spans="1:1">
      <c r="A777" s="42"/>
    </row>
    <row r="778" spans="1:1">
      <c r="A778" s="42"/>
    </row>
    <row r="779" spans="1:1">
      <c r="A779" s="42"/>
    </row>
    <row r="780" spans="1:1">
      <c r="A780" s="42"/>
    </row>
    <row r="781" spans="1:1">
      <c r="A781" s="42"/>
    </row>
    <row r="782" spans="1:1">
      <c r="A782" s="42"/>
    </row>
    <row r="783" spans="1:1">
      <c r="A783" s="42"/>
    </row>
    <row r="784" spans="1:1">
      <c r="A784" s="42"/>
    </row>
    <row r="785" spans="1:1">
      <c r="A785" s="42"/>
    </row>
    <row r="786" spans="1:1">
      <c r="A786" s="42"/>
    </row>
    <row r="787" spans="1:1">
      <c r="A787" s="42"/>
    </row>
    <row r="788" spans="1:1">
      <c r="A788" s="42"/>
    </row>
    <row r="789" spans="1:1">
      <c r="A789" s="42"/>
    </row>
    <row r="790" spans="1:1">
      <c r="A790" s="42"/>
    </row>
    <row r="791" spans="1:1">
      <c r="A791" s="42"/>
    </row>
    <row r="792" spans="1:1">
      <c r="A792" s="42"/>
    </row>
    <row r="793" spans="1:1">
      <c r="A793" s="42"/>
    </row>
    <row r="794" spans="1:1">
      <c r="A794" s="42"/>
    </row>
    <row r="795" spans="1:1">
      <c r="A795" s="42"/>
    </row>
    <row r="796" spans="1:1">
      <c r="A796" s="42"/>
    </row>
    <row r="797" spans="1:1">
      <c r="A797" s="42"/>
    </row>
    <row r="798" spans="1:1">
      <c r="A798" s="42"/>
    </row>
    <row r="799" spans="1:1">
      <c r="A799" s="42"/>
    </row>
    <row r="800" spans="1:1">
      <c r="A800" s="42"/>
    </row>
    <row r="801" spans="1:1">
      <c r="A801" s="42"/>
    </row>
    <row r="802" spans="1:1">
      <c r="A802" s="42"/>
    </row>
    <row r="803" spans="1:1">
      <c r="A803" s="42"/>
    </row>
    <row r="804" spans="1:1">
      <c r="A804" s="42"/>
    </row>
    <row r="805" spans="1:1">
      <c r="A805" s="42"/>
    </row>
    <row r="806" spans="1:1">
      <c r="A806" s="42"/>
    </row>
    <row r="807" spans="1:1">
      <c r="A807" s="42"/>
    </row>
    <row r="808" spans="1:1">
      <c r="A808" s="42"/>
    </row>
    <row r="809" spans="1:1">
      <c r="A809" s="42"/>
    </row>
    <row r="810" spans="1:1">
      <c r="A810" s="42"/>
    </row>
    <row r="811" spans="1:1">
      <c r="A811" s="42"/>
    </row>
    <row r="812" spans="1:1">
      <c r="A812" s="42"/>
    </row>
    <row r="813" spans="1:1">
      <c r="A813" s="42"/>
    </row>
    <row r="814" spans="1:1">
      <c r="A814" s="42"/>
    </row>
    <row r="815" spans="1:1">
      <c r="A815" s="42"/>
    </row>
    <row r="816" spans="1:1">
      <c r="A816" s="42"/>
    </row>
    <row r="817" spans="1:1">
      <c r="A817" s="42"/>
    </row>
    <row r="818" spans="1:1">
      <c r="A818" s="42"/>
    </row>
    <row r="819" spans="1:1">
      <c r="A819" s="42"/>
    </row>
    <row r="820" spans="1:1">
      <c r="A820" s="42"/>
    </row>
    <row r="821" spans="1:1">
      <c r="A821" s="42"/>
    </row>
    <row r="822" spans="1:1">
      <c r="A822" s="42"/>
    </row>
    <row r="823" spans="1:1">
      <c r="A823" s="42"/>
    </row>
    <row r="824" spans="1:1">
      <c r="A824" s="42"/>
    </row>
    <row r="825" spans="1:1">
      <c r="A825" s="42"/>
    </row>
    <row r="826" spans="1:1">
      <c r="A826" s="42"/>
    </row>
    <row r="827" spans="1:1">
      <c r="A827" s="42"/>
    </row>
    <row r="828" spans="1:1">
      <c r="A828" s="42"/>
    </row>
    <row r="829" spans="1:1">
      <c r="A829" s="42"/>
    </row>
    <row r="830" spans="1:1">
      <c r="A830" s="42"/>
    </row>
    <row r="831" spans="1:1">
      <c r="A831" s="42"/>
    </row>
    <row r="832" spans="1:1">
      <c r="A832" s="42"/>
    </row>
    <row r="833" spans="1:1">
      <c r="A833" s="42"/>
    </row>
    <row r="834" spans="1:1">
      <c r="A834" s="42"/>
    </row>
    <row r="835" spans="1:1">
      <c r="A835" s="42"/>
    </row>
    <row r="836" spans="1:1">
      <c r="A836" s="42"/>
    </row>
    <row r="837" spans="1:1">
      <c r="A837" s="42"/>
    </row>
    <row r="838" spans="1:1">
      <c r="A838" s="42"/>
    </row>
    <row r="839" spans="1:1">
      <c r="A839" s="42"/>
    </row>
    <row r="840" spans="1:1">
      <c r="A840" s="42"/>
    </row>
    <row r="841" spans="1:1">
      <c r="A841" s="42"/>
    </row>
    <row r="842" spans="1:1">
      <c r="A842" s="42"/>
    </row>
    <row r="843" spans="1:1">
      <c r="A843" s="42"/>
    </row>
    <row r="844" spans="1:1">
      <c r="A844" s="42"/>
    </row>
    <row r="845" spans="1:1">
      <c r="A845" s="42"/>
    </row>
    <row r="846" spans="1:1">
      <c r="A846" s="42"/>
    </row>
    <row r="847" spans="1:1">
      <c r="A847" s="42"/>
    </row>
    <row r="848" spans="1:1">
      <c r="A848" s="42"/>
    </row>
    <row r="849" spans="1:1">
      <c r="A849" s="42"/>
    </row>
    <row r="850" spans="1:1">
      <c r="A850" s="42"/>
    </row>
    <row r="851" spans="1:1">
      <c r="A851" s="42"/>
    </row>
    <row r="852" spans="1:1">
      <c r="A852" s="42"/>
    </row>
    <row r="853" spans="1:1">
      <c r="A853" s="42"/>
    </row>
    <row r="854" spans="1:1">
      <c r="A854" s="42"/>
    </row>
    <row r="855" spans="1:1">
      <c r="A855" s="42"/>
    </row>
    <row r="856" spans="1:1">
      <c r="A856" s="42"/>
    </row>
    <row r="857" spans="1:1">
      <c r="A857" s="42"/>
    </row>
    <row r="858" spans="1:1">
      <c r="A858" s="42"/>
    </row>
    <row r="859" spans="1:1">
      <c r="A859" s="42"/>
    </row>
    <row r="860" spans="1:1">
      <c r="A860" s="42"/>
    </row>
    <row r="861" spans="1:1">
      <c r="A861" s="42"/>
    </row>
    <row r="862" spans="1:1">
      <c r="A862" s="42"/>
    </row>
    <row r="863" spans="1:1">
      <c r="A863" s="42"/>
    </row>
    <row r="864" spans="1:1">
      <c r="A864" s="42"/>
    </row>
    <row r="865" spans="1:1">
      <c r="A865" s="42"/>
    </row>
    <row r="866" spans="1:1">
      <c r="A866" s="42"/>
    </row>
    <row r="867" spans="1:1">
      <c r="A867" s="42"/>
    </row>
    <row r="868" spans="1:1">
      <c r="A868" s="42"/>
    </row>
    <row r="869" spans="1:1">
      <c r="A869" s="42"/>
    </row>
    <row r="870" spans="1:1">
      <c r="A870" s="42"/>
    </row>
    <row r="871" spans="1:1">
      <c r="A871" s="42"/>
    </row>
    <row r="872" spans="1:1">
      <c r="A872" s="42"/>
    </row>
    <row r="873" spans="1:1">
      <c r="A873" s="42"/>
    </row>
    <row r="874" spans="1:1">
      <c r="A874" s="42"/>
    </row>
    <row r="875" spans="1:1">
      <c r="A875" s="42"/>
    </row>
    <row r="876" spans="1:1">
      <c r="A876" s="42"/>
    </row>
    <row r="877" spans="1:1">
      <c r="A877" s="42"/>
    </row>
    <row r="878" spans="1:1">
      <c r="A878" s="42"/>
    </row>
    <row r="879" spans="1:1">
      <c r="A879" s="42"/>
    </row>
    <row r="880" spans="1:1">
      <c r="A880" s="42"/>
    </row>
    <row r="881" spans="1:1">
      <c r="A881" s="42"/>
    </row>
    <row r="882" spans="1:1">
      <c r="A882" s="42"/>
    </row>
    <row r="883" spans="1:1">
      <c r="A883" s="42"/>
    </row>
    <row r="884" spans="1:1">
      <c r="A884" s="42"/>
    </row>
    <row r="885" spans="1:1">
      <c r="A885" s="42"/>
    </row>
    <row r="886" spans="1:1">
      <c r="A886" s="42"/>
    </row>
    <row r="887" spans="1:1">
      <c r="A887" s="42"/>
    </row>
    <row r="888" spans="1:1">
      <c r="A888" s="42"/>
    </row>
    <row r="889" spans="1:1">
      <c r="A889" s="42"/>
    </row>
    <row r="890" spans="1:1">
      <c r="A890" s="42"/>
    </row>
    <row r="891" spans="1:1">
      <c r="A891" s="42"/>
    </row>
    <row r="892" spans="1:1">
      <c r="A892" s="42"/>
    </row>
    <row r="893" spans="1:1">
      <c r="A893" s="42"/>
    </row>
    <row r="894" spans="1:1">
      <c r="A894" s="42"/>
    </row>
    <row r="895" spans="1:1">
      <c r="A895" s="42"/>
    </row>
    <row r="896" spans="1:1">
      <c r="A896" s="42"/>
    </row>
    <row r="897" spans="1:1">
      <c r="A897" s="42"/>
    </row>
    <row r="898" spans="1:1">
      <c r="A898" s="42"/>
    </row>
    <row r="899" spans="1:1">
      <c r="A899" s="42"/>
    </row>
    <row r="900" spans="1:1">
      <c r="A900" s="42"/>
    </row>
    <row r="901" spans="1:1">
      <c r="A901" s="42"/>
    </row>
    <row r="902" spans="1:1">
      <c r="A902" s="42"/>
    </row>
    <row r="903" spans="1:1">
      <c r="A903" s="42"/>
    </row>
    <row r="904" spans="1:1">
      <c r="A904" s="42"/>
    </row>
    <row r="905" spans="1:1">
      <c r="A905" s="42"/>
    </row>
    <row r="906" spans="1:1">
      <c r="A906" s="42"/>
    </row>
    <row r="907" spans="1:1">
      <c r="A907" s="42"/>
    </row>
    <row r="908" spans="1:1">
      <c r="A908" s="42"/>
    </row>
    <row r="909" spans="1:1">
      <c r="A909" s="42"/>
    </row>
    <row r="910" spans="1:1">
      <c r="A910" s="42"/>
    </row>
    <row r="911" spans="1:1">
      <c r="A911" s="42"/>
    </row>
    <row r="912" spans="1:1">
      <c r="A912" s="42"/>
    </row>
    <row r="913" spans="1:1">
      <c r="A913" s="42"/>
    </row>
    <row r="914" spans="1:1">
      <c r="A914" s="42"/>
    </row>
    <row r="915" spans="1:1">
      <c r="A915" s="42"/>
    </row>
    <row r="916" spans="1:1">
      <c r="A916" s="42"/>
    </row>
    <row r="917" spans="1:1">
      <c r="A917" s="42"/>
    </row>
    <row r="918" spans="1:1">
      <c r="A918" s="42"/>
    </row>
    <row r="919" spans="1:1">
      <c r="A919" s="42"/>
    </row>
    <row r="920" spans="1:1">
      <c r="A920" s="42"/>
    </row>
    <row r="921" spans="1:1">
      <c r="A921" s="42"/>
    </row>
    <row r="922" spans="1:1">
      <c r="A922" s="42"/>
    </row>
    <row r="923" spans="1:1">
      <c r="A923" s="42"/>
    </row>
    <row r="924" spans="1:1">
      <c r="A924" s="42"/>
    </row>
    <row r="925" spans="1:1">
      <c r="A925" s="42"/>
    </row>
    <row r="926" spans="1:1">
      <c r="A926" s="42"/>
    </row>
    <row r="927" spans="1:1">
      <c r="A927" s="42"/>
    </row>
    <row r="928" spans="1:1">
      <c r="A928" s="42"/>
    </row>
    <row r="929" spans="1:1">
      <c r="A929" s="42"/>
    </row>
    <row r="930" spans="1:1">
      <c r="A930" s="42"/>
    </row>
    <row r="931" spans="1:1">
      <c r="A931" s="42"/>
    </row>
    <row r="932" spans="1:1">
      <c r="A932" s="42"/>
    </row>
    <row r="933" spans="1:1">
      <c r="A933" s="42"/>
    </row>
    <row r="934" spans="1:1">
      <c r="A934" s="42"/>
    </row>
    <row r="935" spans="1:1">
      <c r="A935" s="42"/>
    </row>
    <row r="936" spans="1:1">
      <c r="A936" s="42"/>
    </row>
    <row r="937" spans="1:1">
      <c r="A937" s="42"/>
    </row>
    <row r="938" spans="1:1">
      <c r="A938" s="42"/>
    </row>
    <row r="939" spans="1:1">
      <c r="A939" s="42"/>
    </row>
    <row r="940" spans="1:1">
      <c r="A940" s="42"/>
    </row>
    <row r="941" spans="1:1">
      <c r="A941" s="42"/>
    </row>
    <row r="942" spans="1:1">
      <c r="A942" s="42"/>
    </row>
    <row r="943" spans="1:1">
      <c r="A943" s="42"/>
    </row>
    <row r="944" spans="1:1">
      <c r="A944" s="42"/>
    </row>
    <row r="945" spans="1:1">
      <c r="A945" s="42"/>
    </row>
    <row r="946" spans="1:1">
      <c r="A946" s="42"/>
    </row>
    <row r="947" spans="1:1">
      <c r="A947" s="42"/>
    </row>
    <row r="948" spans="1:1">
      <c r="A948" s="42"/>
    </row>
    <row r="949" spans="1:1">
      <c r="A949" s="42"/>
    </row>
    <row r="950" spans="1:1">
      <c r="A950" s="42"/>
    </row>
    <row r="951" spans="1:1">
      <c r="A951" s="42"/>
    </row>
    <row r="952" spans="1:1">
      <c r="A952" s="42"/>
    </row>
    <row r="953" spans="1:1">
      <c r="A953" s="42"/>
    </row>
    <row r="954" spans="1:1">
      <c r="A954" s="42"/>
    </row>
    <row r="955" spans="1:1">
      <c r="A955" s="42"/>
    </row>
    <row r="956" spans="1:1">
      <c r="A956" s="42"/>
    </row>
    <row r="957" spans="1:1">
      <c r="A957" s="42"/>
    </row>
    <row r="958" spans="1:1">
      <c r="A958" s="42"/>
    </row>
    <row r="959" spans="1:1">
      <c r="A959" s="42"/>
    </row>
    <row r="960" spans="1:1">
      <c r="A960" s="42"/>
    </row>
    <row r="961" spans="1:1">
      <c r="A961" s="42"/>
    </row>
    <row r="962" spans="1:1">
      <c r="A962" s="42"/>
    </row>
    <row r="963" spans="1:1">
      <c r="A963" s="42"/>
    </row>
    <row r="964" spans="1:1">
      <c r="A964" s="42"/>
    </row>
    <row r="965" spans="1:1">
      <c r="A965" s="42"/>
    </row>
    <row r="966" spans="1:1">
      <c r="A966" s="42"/>
    </row>
    <row r="967" spans="1:1">
      <c r="A967" s="42"/>
    </row>
    <row r="968" spans="1:1">
      <c r="A968" s="42"/>
    </row>
    <row r="969" spans="1:1">
      <c r="A969" s="42"/>
    </row>
    <row r="970" spans="1:1">
      <c r="A970" s="42"/>
    </row>
    <row r="971" spans="1:1">
      <c r="A971" s="42"/>
    </row>
    <row r="972" spans="1:1">
      <c r="A972" s="42"/>
    </row>
    <row r="973" spans="1:1">
      <c r="A973" s="42"/>
    </row>
    <row r="974" spans="1:1">
      <c r="A974" s="42"/>
    </row>
    <row r="975" spans="1:1">
      <c r="A975" s="42"/>
    </row>
    <row r="976" spans="1:1">
      <c r="A976" s="42"/>
    </row>
    <row r="977" spans="1:1">
      <c r="A977" s="42"/>
    </row>
    <row r="978" spans="1:1">
      <c r="A978" s="42"/>
    </row>
    <row r="979" spans="1:1">
      <c r="A979" s="42"/>
    </row>
    <row r="980" spans="1:1">
      <c r="A980" s="42"/>
    </row>
    <row r="981" spans="1:1">
      <c r="A981" s="42"/>
    </row>
    <row r="982" spans="1:1">
      <c r="A982" s="42"/>
    </row>
    <row r="983" spans="1:1">
      <c r="A983" s="42"/>
    </row>
    <row r="984" spans="1:1">
      <c r="A984" s="42"/>
    </row>
    <row r="985" spans="1:1">
      <c r="A985" s="42"/>
    </row>
    <row r="986" spans="1:1">
      <c r="A986" s="42"/>
    </row>
    <row r="987" spans="1:1">
      <c r="A987" s="42"/>
    </row>
    <row r="988" spans="1:1">
      <c r="A988" s="42"/>
    </row>
    <row r="989" spans="1:1">
      <c r="A989" s="42"/>
    </row>
    <row r="990" spans="1:1">
      <c r="A990" s="42"/>
    </row>
    <row r="991" spans="1:1">
      <c r="A991" s="42"/>
    </row>
    <row r="992" spans="1:1">
      <c r="A992" s="42"/>
    </row>
    <row r="993" spans="1:1">
      <c r="A993" s="42"/>
    </row>
    <row r="994" spans="1:1">
      <c r="A994" s="42"/>
    </row>
    <row r="995" spans="1:1">
      <c r="A995" s="42"/>
    </row>
    <row r="996" spans="1:1">
      <c r="A996" s="42"/>
    </row>
    <row r="997" spans="1:1">
      <c r="A997" s="42"/>
    </row>
    <row r="998" spans="1:1">
      <c r="A998" s="42"/>
    </row>
    <row r="999" spans="1:1">
      <c r="A999" s="42"/>
    </row>
    <row r="1000" spans="1:1">
      <c r="A1000" s="42"/>
    </row>
    <row r="1001" spans="1:1">
      <c r="A1001" s="42"/>
    </row>
    <row r="1002" spans="1:1">
      <c r="A1002" s="42"/>
    </row>
    <row r="1003" spans="1:1">
      <c r="A1003" s="42"/>
    </row>
    <row r="1004" spans="1:1">
      <c r="A1004" s="42"/>
    </row>
    <row r="1005" spans="1:1">
      <c r="A1005" s="42"/>
    </row>
    <row r="1006" spans="1:1">
      <c r="A1006" s="42"/>
    </row>
    <row r="1007" spans="1:1">
      <c r="A1007" s="42"/>
    </row>
    <row r="1008" spans="1:1">
      <c r="A1008" s="42"/>
    </row>
    <row r="1009" spans="1:1">
      <c r="A1009" s="42"/>
    </row>
    <row r="1010" spans="1:1">
      <c r="A1010" s="42"/>
    </row>
    <row r="1011" spans="1:1">
      <c r="A1011" s="42"/>
    </row>
    <row r="1012" spans="1:1">
      <c r="A1012" s="42"/>
    </row>
    <row r="1013" spans="1:1">
      <c r="A1013" s="42"/>
    </row>
    <row r="1014" spans="1:1">
      <c r="A1014" s="42"/>
    </row>
    <row r="1015" spans="1:1">
      <c r="A1015" s="42"/>
    </row>
    <row r="1016" spans="1:1">
      <c r="A1016" s="42"/>
    </row>
    <row r="1017" spans="1:1">
      <c r="A1017" s="42"/>
    </row>
    <row r="1018" spans="1:1">
      <c r="A1018" s="42"/>
    </row>
    <row r="1019" spans="1:1">
      <c r="A1019" s="42"/>
    </row>
    <row r="1020" spans="1:1">
      <c r="A1020" s="42"/>
    </row>
    <row r="1021" spans="1:1">
      <c r="A1021" s="42"/>
    </row>
    <row r="1022" spans="1:1">
      <c r="A1022" s="42"/>
    </row>
    <row r="1023" spans="1:1">
      <c r="A1023" s="42"/>
    </row>
    <row r="1024" spans="1:1">
      <c r="A1024" s="42"/>
    </row>
    <row r="1025" spans="1:1">
      <c r="A1025" s="42"/>
    </row>
    <row r="1026" spans="1:1">
      <c r="A1026" s="42"/>
    </row>
    <row r="1027" spans="1:1">
      <c r="A1027" s="42"/>
    </row>
    <row r="1028" spans="1:1">
      <c r="A1028" s="42"/>
    </row>
    <row r="1029" spans="1:1">
      <c r="A1029" s="42"/>
    </row>
    <row r="1030" spans="1:1">
      <c r="A1030" s="42"/>
    </row>
    <row r="1031" spans="1:1">
      <c r="A1031" s="42"/>
    </row>
    <row r="1032" spans="1:1">
      <c r="A1032" s="42"/>
    </row>
    <row r="1033" spans="1:1">
      <c r="A1033" s="42"/>
    </row>
    <row r="1034" spans="1:1">
      <c r="A1034" s="42"/>
    </row>
    <row r="1035" spans="1:1">
      <c r="A1035" s="42"/>
    </row>
    <row r="1036" spans="1:1">
      <c r="A1036" s="42"/>
    </row>
    <row r="1037" spans="1:1">
      <c r="A1037" s="42"/>
    </row>
    <row r="1038" spans="1:1">
      <c r="A1038" s="42"/>
    </row>
    <row r="1039" spans="1:1">
      <c r="A1039" s="42"/>
    </row>
    <row r="1040" spans="1:1">
      <c r="A1040" s="42"/>
    </row>
    <row r="1041" spans="1:1">
      <c r="A1041" s="42"/>
    </row>
    <row r="1042" spans="1:1">
      <c r="A1042" s="42"/>
    </row>
    <row r="1043" spans="1:1">
      <c r="A1043" s="42"/>
    </row>
    <row r="1044" spans="1:1">
      <c r="A1044" s="42"/>
    </row>
    <row r="1045" spans="1:1">
      <c r="A1045" s="42"/>
    </row>
    <row r="1046" spans="1:1">
      <c r="A1046" s="42"/>
    </row>
    <row r="1047" spans="1:1">
      <c r="A1047" s="42"/>
    </row>
    <row r="1048" spans="1:1">
      <c r="A1048" s="42"/>
    </row>
    <row r="1049" spans="1:1">
      <c r="A1049" s="42"/>
    </row>
    <row r="1050" spans="1:1">
      <c r="A1050" s="42"/>
    </row>
    <row r="1051" spans="1:1">
      <c r="A1051" s="42"/>
    </row>
    <row r="1052" spans="1:1">
      <c r="A1052" s="42"/>
    </row>
    <row r="1053" spans="1:1">
      <c r="A1053" s="42"/>
    </row>
    <row r="1054" spans="1:1">
      <c r="A1054" s="42"/>
    </row>
    <row r="1055" spans="1:1">
      <c r="A1055" s="42"/>
    </row>
    <row r="1056" spans="1:1">
      <c r="A1056" s="42"/>
    </row>
    <row r="1057" spans="1:1">
      <c r="A1057" s="42"/>
    </row>
    <row r="1058" spans="1:1">
      <c r="A1058" s="42"/>
    </row>
    <row r="1059" spans="1:1">
      <c r="A1059" s="42"/>
    </row>
    <row r="1060" spans="1:1">
      <c r="A1060" s="42"/>
    </row>
    <row r="1061" spans="1:1">
      <c r="A1061" s="42"/>
    </row>
    <row r="1062" spans="1:1">
      <c r="A1062" s="42"/>
    </row>
    <row r="1063" spans="1:1">
      <c r="A1063" s="42"/>
    </row>
    <row r="1064" spans="1:1">
      <c r="A1064" s="42"/>
    </row>
    <row r="1065" spans="1:1">
      <c r="A1065" s="42"/>
    </row>
    <row r="1066" spans="1:1">
      <c r="A1066" s="42"/>
    </row>
    <row r="1067" spans="1:1">
      <c r="A1067" s="42"/>
    </row>
    <row r="1068" spans="1:1">
      <c r="A1068" s="42"/>
    </row>
    <row r="1069" spans="1:1">
      <c r="A1069" s="42"/>
    </row>
    <row r="1070" spans="1:1">
      <c r="A1070" s="42"/>
    </row>
    <row r="1071" spans="1:1">
      <c r="A1071" s="42"/>
    </row>
    <row r="1072" spans="1:1">
      <c r="A1072" s="42"/>
    </row>
    <row r="1073" spans="1:1">
      <c r="A1073" s="42"/>
    </row>
    <row r="1074" spans="1:1">
      <c r="A1074" s="42"/>
    </row>
    <row r="1075" spans="1:1">
      <c r="A1075" s="42"/>
    </row>
    <row r="1076" spans="1:1">
      <c r="A1076" s="42"/>
    </row>
    <row r="1077" spans="1:1">
      <c r="A1077" s="42"/>
    </row>
    <row r="1078" spans="1:1">
      <c r="A1078" s="42"/>
    </row>
    <row r="1079" spans="1:1">
      <c r="A1079" s="42"/>
    </row>
    <row r="1080" spans="1:1">
      <c r="A1080" s="42"/>
    </row>
    <row r="1081" spans="1:1">
      <c r="A1081" s="42"/>
    </row>
    <row r="1082" spans="1:1">
      <c r="A1082" s="42"/>
    </row>
    <row r="1083" spans="1:1">
      <c r="A1083" s="42"/>
    </row>
    <row r="1084" spans="1:1">
      <c r="A1084" s="42"/>
    </row>
    <row r="1085" spans="1:1">
      <c r="A1085" s="42"/>
    </row>
    <row r="1086" spans="1:1">
      <c r="A1086" s="42"/>
    </row>
    <row r="1087" spans="1:1">
      <c r="A1087" s="42"/>
    </row>
    <row r="1088" spans="1:1">
      <c r="A1088" s="42"/>
    </row>
    <row r="1089" spans="1:1">
      <c r="A1089" s="42"/>
    </row>
    <row r="1090" spans="1:1">
      <c r="A1090" s="42"/>
    </row>
    <row r="1091" spans="1:1">
      <c r="A1091" s="42"/>
    </row>
    <row r="1092" spans="1:1">
      <c r="A1092" s="42"/>
    </row>
    <row r="1093" spans="1:1">
      <c r="A1093" s="42"/>
    </row>
    <row r="1094" spans="1:1">
      <c r="A1094" s="42"/>
    </row>
    <row r="1095" spans="1:1">
      <c r="A1095" s="42"/>
    </row>
    <row r="1096" spans="1:1">
      <c r="A1096" s="42"/>
    </row>
    <row r="1097" spans="1:1">
      <c r="A1097" s="42"/>
    </row>
    <row r="1098" spans="1:1">
      <c r="A1098" s="42"/>
    </row>
    <row r="1099" spans="1:1">
      <c r="A1099" s="42"/>
    </row>
    <row r="1100" spans="1:1">
      <c r="A1100" s="42"/>
    </row>
    <row r="1101" spans="1:1">
      <c r="A1101" s="42"/>
    </row>
    <row r="1102" spans="1:1">
      <c r="A1102" s="42"/>
    </row>
    <row r="1103" spans="1:1">
      <c r="A1103" s="42"/>
    </row>
    <row r="1104" spans="1:1">
      <c r="A1104" s="42"/>
    </row>
    <row r="1105" spans="1:1">
      <c r="A1105" s="42"/>
    </row>
    <row r="1106" spans="1:1">
      <c r="A1106" s="42"/>
    </row>
    <row r="1107" spans="1:1">
      <c r="A1107" s="42"/>
    </row>
    <row r="1108" spans="1:1">
      <c r="A1108" s="42"/>
    </row>
    <row r="1109" spans="1:1">
      <c r="A1109" s="42"/>
    </row>
    <row r="1110" spans="1:1">
      <c r="A1110" s="42"/>
    </row>
    <row r="1111" spans="1:1">
      <c r="A1111" s="42"/>
    </row>
    <row r="1112" spans="1:1">
      <c r="A1112" s="42"/>
    </row>
    <row r="1113" spans="1:1">
      <c r="A1113" s="42"/>
    </row>
    <row r="1114" spans="1:1">
      <c r="A1114" s="42"/>
    </row>
    <row r="1115" spans="1:1">
      <c r="A1115" s="42"/>
    </row>
    <row r="1116" spans="1:1">
      <c r="A1116" s="42"/>
    </row>
    <row r="1117" spans="1:1">
      <c r="A1117" s="42"/>
    </row>
    <row r="1118" spans="1:1">
      <c r="A1118" s="42"/>
    </row>
    <row r="1119" spans="1:1">
      <c r="A1119" s="42"/>
    </row>
    <row r="1120" spans="1:1">
      <c r="A1120" s="42"/>
    </row>
    <row r="1121" spans="1:1">
      <c r="A1121" s="42"/>
    </row>
    <row r="1122" spans="1:1">
      <c r="A1122" s="42"/>
    </row>
    <row r="1123" spans="1:1">
      <c r="A1123" s="42"/>
    </row>
    <row r="1124" spans="1:1">
      <c r="A1124" s="42"/>
    </row>
    <row r="1125" spans="1:1">
      <c r="A1125" s="42"/>
    </row>
    <row r="1126" spans="1:1">
      <c r="A1126" s="42"/>
    </row>
    <row r="1127" spans="1:1">
      <c r="A1127" s="42"/>
    </row>
    <row r="1128" spans="1:1">
      <c r="A1128" s="42"/>
    </row>
    <row r="1129" spans="1:1">
      <c r="A1129" s="42"/>
    </row>
    <row r="1130" spans="1:1">
      <c r="A1130" s="42"/>
    </row>
    <row r="1131" spans="1:1">
      <c r="A1131" s="42"/>
    </row>
    <row r="1132" spans="1:1">
      <c r="A1132" s="42"/>
    </row>
    <row r="1133" spans="1:1">
      <c r="A1133" s="42"/>
    </row>
    <row r="1134" spans="1:1">
      <c r="A1134" s="42"/>
    </row>
    <row r="1135" spans="1:1">
      <c r="A1135" s="42"/>
    </row>
    <row r="1136" spans="1:1">
      <c r="A1136" s="42"/>
    </row>
    <row r="1137" spans="1:1">
      <c r="A1137" s="42"/>
    </row>
    <row r="1138" spans="1:1">
      <c r="A1138" s="42"/>
    </row>
    <row r="1139" spans="1:1">
      <c r="A1139" s="42"/>
    </row>
    <row r="1140" spans="1:1">
      <c r="A1140" s="42"/>
    </row>
    <row r="1141" spans="1:1">
      <c r="A1141" s="42"/>
    </row>
    <row r="1142" spans="1:1">
      <c r="A1142" s="42"/>
    </row>
    <row r="1143" spans="1:1">
      <c r="A1143" s="42"/>
    </row>
    <row r="1144" spans="1:1">
      <c r="A1144" s="42"/>
    </row>
    <row r="1145" spans="1:1">
      <c r="A1145" s="42"/>
    </row>
    <row r="1146" spans="1:1">
      <c r="A1146" s="42"/>
    </row>
    <row r="1147" spans="1:1">
      <c r="A1147" s="42"/>
    </row>
    <row r="1148" spans="1:1">
      <c r="A1148" s="42"/>
    </row>
    <row r="1149" spans="1:1">
      <c r="A1149" s="42"/>
    </row>
    <row r="1150" spans="1:1">
      <c r="A1150" s="42"/>
    </row>
    <row r="1151" spans="1:1">
      <c r="A1151" s="42"/>
    </row>
    <row r="1152" spans="1:1">
      <c r="A1152" s="42"/>
    </row>
    <row r="1153" spans="1:1">
      <c r="A1153" s="42"/>
    </row>
    <row r="1154" spans="1:1">
      <c r="A1154" s="42"/>
    </row>
    <row r="1155" spans="1:1">
      <c r="A1155" s="42"/>
    </row>
    <row r="1156" spans="1:1">
      <c r="A1156" s="42"/>
    </row>
    <row r="1157" spans="1:1">
      <c r="A1157" s="42"/>
    </row>
    <row r="1158" spans="1:1">
      <c r="A1158" s="42"/>
    </row>
    <row r="1159" spans="1:1">
      <c r="A1159" s="42"/>
    </row>
    <row r="1160" spans="1:1">
      <c r="A1160" s="42"/>
    </row>
    <row r="1161" spans="1:1">
      <c r="A1161" s="42"/>
    </row>
    <row r="1162" spans="1:1">
      <c r="A1162" s="42"/>
    </row>
    <row r="1163" spans="1:1">
      <c r="A1163" s="42"/>
    </row>
    <row r="1164" spans="1:1">
      <c r="A1164" s="42"/>
    </row>
    <row r="1165" spans="1:1">
      <c r="A1165" s="42"/>
    </row>
    <row r="1166" spans="1:1">
      <c r="A1166" s="42"/>
    </row>
    <row r="1167" spans="1:1">
      <c r="A1167" s="42"/>
    </row>
    <row r="1168" spans="1:1">
      <c r="A1168" s="42"/>
    </row>
    <row r="1169" spans="1:1">
      <c r="A1169" s="42"/>
    </row>
    <row r="1170" spans="1:1">
      <c r="A1170" s="42"/>
    </row>
    <row r="1171" spans="1:1">
      <c r="A1171" s="42"/>
    </row>
    <row r="1172" spans="1:1">
      <c r="A1172" s="42"/>
    </row>
    <row r="1173" spans="1:1">
      <c r="A1173" s="42"/>
    </row>
    <row r="1174" spans="1:1">
      <c r="A1174" s="42"/>
    </row>
    <row r="1175" spans="1:1">
      <c r="A1175" s="42"/>
    </row>
    <row r="1176" spans="1:1">
      <c r="A1176" s="42"/>
    </row>
    <row r="1177" spans="1:1">
      <c r="A1177" s="42"/>
    </row>
    <row r="1178" spans="1:1">
      <c r="A1178" s="42"/>
    </row>
    <row r="1179" spans="1:1">
      <c r="A1179" s="42"/>
    </row>
    <row r="1180" spans="1:1">
      <c r="A1180" s="42"/>
    </row>
    <row r="1181" spans="1:1">
      <c r="A1181" s="42"/>
    </row>
    <row r="1182" spans="1:1">
      <c r="A1182" s="42"/>
    </row>
    <row r="1183" spans="1:1">
      <c r="A1183" s="42"/>
    </row>
    <row r="1184" spans="1:1">
      <c r="A1184" s="42"/>
    </row>
    <row r="1185" spans="1:1">
      <c r="A1185" s="42"/>
    </row>
    <row r="1186" spans="1:1">
      <c r="A1186" s="42"/>
    </row>
    <row r="1187" spans="1:1">
      <c r="A1187" s="42"/>
    </row>
    <row r="1188" spans="1:1">
      <c r="A1188" s="42"/>
    </row>
    <row r="1189" spans="1:1">
      <c r="A1189" s="42"/>
    </row>
    <row r="1190" spans="1:1">
      <c r="A1190" s="42"/>
    </row>
    <row r="1191" spans="1:1">
      <c r="A1191" s="42"/>
    </row>
    <row r="1192" spans="1:1">
      <c r="A1192" s="42"/>
    </row>
    <row r="1193" spans="1:1">
      <c r="A1193" s="42"/>
    </row>
    <row r="1194" spans="1:1">
      <c r="A1194" s="42"/>
    </row>
    <row r="1195" spans="1:1">
      <c r="A1195" s="42"/>
    </row>
    <row r="1196" spans="1:1">
      <c r="A1196" s="42"/>
    </row>
    <row r="1197" spans="1:1">
      <c r="A1197" s="42"/>
    </row>
    <row r="1198" spans="1:1">
      <c r="A1198" s="42"/>
    </row>
    <row r="1199" spans="1:1">
      <c r="A1199" s="42"/>
    </row>
    <row r="1200" spans="1:1">
      <c r="A1200" s="42"/>
    </row>
    <row r="1201" spans="1:1">
      <c r="A1201" s="42"/>
    </row>
    <row r="1202" spans="1:1">
      <c r="A1202" s="42"/>
    </row>
    <row r="1203" spans="1:1">
      <c r="A1203" s="42"/>
    </row>
    <row r="1204" spans="1:1">
      <c r="A1204" s="42"/>
    </row>
    <row r="1205" spans="1:1">
      <c r="A1205" s="42"/>
    </row>
    <row r="1206" spans="1:1">
      <c r="A1206" s="42"/>
    </row>
    <row r="1207" spans="1:1">
      <c r="A1207" s="42"/>
    </row>
    <row r="1208" spans="1:1">
      <c r="A1208" s="42"/>
    </row>
    <row r="1209" spans="1:1">
      <c r="A1209" s="42"/>
    </row>
    <row r="1210" spans="1:1">
      <c r="A1210" s="42"/>
    </row>
    <row r="1211" spans="1:1">
      <c r="A1211" s="42"/>
    </row>
    <row r="1212" spans="1:1">
      <c r="A1212" s="42"/>
    </row>
    <row r="1213" spans="1:1">
      <c r="A1213" s="42"/>
    </row>
    <row r="1214" spans="1:1">
      <c r="A1214" s="42"/>
    </row>
    <row r="1215" spans="1:1">
      <c r="A1215" s="42"/>
    </row>
    <row r="1216" spans="1:1">
      <c r="A1216" s="42"/>
    </row>
    <row r="1217" spans="1:1">
      <c r="A1217" s="42"/>
    </row>
    <row r="1218" spans="1:1">
      <c r="A1218" s="42"/>
    </row>
    <row r="1219" spans="1:1">
      <c r="A1219" s="42"/>
    </row>
    <row r="1220" spans="1:1">
      <c r="A1220" s="42"/>
    </row>
    <row r="1221" spans="1:1">
      <c r="A1221" s="42"/>
    </row>
    <row r="1222" spans="1:1">
      <c r="A1222" s="42"/>
    </row>
    <row r="1223" spans="1:1">
      <c r="A1223" s="42"/>
    </row>
    <row r="1224" spans="1:1">
      <c r="A1224" s="42"/>
    </row>
    <row r="1225" spans="1:1">
      <c r="A1225" s="42"/>
    </row>
    <row r="1226" spans="1:1">
      <c r="A1226" s="42"/>
    </row>
    <row r="1227" spans="1:1">
      <c r="A1227" s="42"/>
    </row>
    <row r="1228" spans="1:1">
      <c r="A1228" s="42"/>
    </row>
    <row r="1229" spans="1:1">
      <c r="A1229" s="42"/>
    </row>
    <row r="1230" spans="1:1">
      <c r="A1230" s="42"/>
    </row>
    <row r="1231" spans="1:1">
      <c r="A1231" s="42"/>
    </row>
    <row r="1232" spans="1:1">
      <c r="A1232" s="42"/>
    </row>
    <row r="1233" spans="1:1">
      <c r="A1233" s="42"/>
    </row>
    <row r="1234" spans="1:1">
      <c r="A1234" s="42"/>
    </row>
    <row r="1235" spans="1:1">
      <c r="A1235" s="42"/>
    </row>
    <row r="1236" spans="1:1">
      <c r="A1236" s="42"/>
    </row>
    <row r="1237" spans="1:1">
      <c r="A1237" s="42"/>
    </row>
    <row r="1238" spans="1:1">
      <c r="A1238" s="42"/>
    </row>
    <row r="1239" spans="1:1">
      <c r="A1239" s="42"/>
    </row>
    <row r="1240" spans="1:1">
      <c r="A1240" s="42"/>
    </row>
    <row r="1241" spans="1:1">
      <c r="A1241" s="42"/>
    </row>
    <row r="1242" spans="1:1">
      <c r="A1242" s="42"/>
    </row>
    <row r="1243" spans="1:1">
      <c r="A1243" s="42"/>
    </row>
    <row r="1244" spans="1:1">
      <c r="A1244" s="42"/>
    </row>
    <row r="1245" spans="1:1">
      <c r="A1245" s="42"/>
    </row>
    <row r="1246" spans="1:1">
      <c r="A1246" s="42"/>
    </row>
    <row r="1247" spans="1:1">
      <c r="A1247" s="42"/>
    </row>
    <row r="1248" spans="1:1">
      <c r="A1248" s="42"/>
    </row>
    <row r="1249" spans="1:1">
      <c r="A1249" s="42"/>
    </row>
    <row r="1250" spans="1:1">
      <c r="A1250" s="42"/>
    </row>
    <row r="1251" spans="1:1">
      <c r="A1251" s="42"/>
    </row>
    <row r="1252" spans="1:1">
      <c r="A1252" s="42"/>
    </row>
    <row r="1253" spans="1:1">
      <c r="A1253" s="42"/>
    </row>
    <row r="1254" spans="1:1">
      <c r="A1254" s="42"/>
    </row>
    <row r="1255" spans="1:1">
      <c r="A1255" s="42"/>
    </row>
    <row r="1256" spans="1:1">
      <c r="A1256" s="42"/>
    </row>
    <row r="1257" spans="1:1">
      <c r="A1257" s="42"/>
    </row>
    <row r="1258" spans="1:1">
      <c r="A1258" s="42"/>
    </row>
    <row r="1259" spans="1:1">
      <c r="A1259" s="42"/>
    </row>
    <row r="1260" spans="1:1">
      <c r="A1260" s="42"/>
    </row>
    <row r="1261" spans="1:1">
      <c r="A1261" s="42"/>
    </row>
    <row r="1262" spans="1:1">
      <c r="A1262" s="42"/>
    </row>
    <row r="1263" spans="1:1">
      <c r="A1263" s="42"/>
    </row>
    <row r="1264" spans="1:1">
      <c r="A1264" s="42"/>
    </row>
    <row r="1265" spans="1:1">
      <c r="A1265" s="42"/>
    </row>
    <row r="1266" spans="1:1">
      <c r="A1266" s="42"/>
    </row>
    <row r="1267" spans="1:1">
      <c r="A1267" s="42"/>
    </row>
    <row r="1268" spans="1:1">
      <c r="A1268" s="42"/>
    </row>
    <row r="1269" spans="1:1">
      <c r="A1269" s="42"/>
    </row>
    <row r="1270" spans="1:1">
      <c r="A1270" s="42"/>
    </row>
    <row r="1271" spans="1:1">
      <c r="A1271" s="42"/>
    </row>
    <row r="1272" spans="1:1">
      <c r="A1272" s="42"/>
    </row>
    <row r="1273" spans="1:1">
      <c r="A1273" s="42"/>
    </row>
    <row r="1274" spans="1:1">
      <c r="A1274" s="42"/>
    </row>
    <row r="1275" spans="1:1">
      <c r="A1275" s="42"/>
    </row>
    <row r="1276" spans="1:1">
      <c r="A1276" s="42"/>
    </row>
    <row r="1277" spans="1:1">
      <c r="A1277" s="42"/>
    </row>
    <row r="1278" spans="1:1">
      <c r="A1278" s="42"/>
    </row>
    <row r="1279" spans="1:1">
      <c r="A1279" s="42"/>
    </row>
    <row r="1280" spans="1:1">
      <c r="A1280" s="42"/>
    </row>
    <row r="1281" spans="1:1">
      <c r="A1281" s="42"/>
    </row>
    <row r="1282" spans="1:1">
      <c r="A1282" s="42"/>
    </row>
    <row r="1283" spans="1:1">
      <c r="A1283" s="42"/>
    </row>
    <row r="1284" spans="1:1">
      <c r="A1284" s="42"/>
    </row>
    <row r="1285" spans="1:1">
      <c r="A1285" s="42"/>
    </row>
    <row r="1286" spans="1:1">
      <c r="A1286" s="42"/>
    </row>
    <row r="1287" spans="1:1">
      <c r="A1287" s="42"/>
    </row>
    <row r="1288" spans="1:1">
      <c r="A1288" s="42"/>
    </row>
    <row r="1289" spans="1:1">
      <c r="A1289" s="42"/>
    </row>
    <row r="1290" spans="1:1">
      <c r="A1290" s="42"/>
    </row>
    <row r="1291" spans="1:1">
      <c r="A1291" s="42"/>
    </row>
    <row r="1292" spans="1:1">
      <c r="A1292" s="42"/>
    </row>
    <row r="1293" spans="1:1">
      <c r="A1293" s="42"/>
    </row>
    <row r="1294" spans="1:1">
      <c r="A1294" s="42"/>
    </row>
    <row r="1295" spans="1:1">
      <c r="A1295" s="42"/>
    </row>
    <row r="1296" spans="1:1">
      <c r="A1296" s="42"/>
    </row>
    <row r="1297" spans="1:1">
      <c r="A1297" s="42"/>
    </row>
    <row r="1298" spans="1:1">
      <c r="A1298" s="42"/>
    </row>
    <row r="1299" spans="1:1">
      <c r="A1299" s="42"/>
    </row>
    <row r="1300" spans="1:1">
      <c r="A1300" s="42"/>
    </row>
    <row r="1301" spans="1:1">
      <c r="A1301" s="42"/>
    </row>
    <row r="1302" spans="1:1">
      <c r="A1302" s="42"/>
    </row>
    <row r="1303" spans="1:1">
      <c r="A1303" s="42"/>
    </row>
    <row r="1304" spans="1:1">
      <c r="A1304" s="42"/>
    </row>
    <row r="1305" spans="1:1">
      <c r="A1305" s="42"/>
    </row>
    <row r="1306" spans="1:1">
      <c r="A1306" s="42"/>
    </row>
    <row r="1307" spans="1:1">
      <c r="A1307" s="42"/>
    </row>
    <row r="1308" spans="1:1">
      <c r="A1308" s="42"/>
    </row>
    <row r="1309" spans="1:1">
      <c r="A1309" s="42"/>
    </row>
    <row r="1310" spans="1:1">
      <c r="A1310" s="42"/>
    </row>
    <row r="1311" spans="1:1">
      <c r="A1311" s="42"/>
    </row>
    <row r="1312" spans="1:1">
      <c r="A1312" s="42"/>
    </row>
    <row r="1313" spans="1:1">
      <c r="A1313" s="42"/>
    </row>
    <row r="1314" spans="1:1">
      <c r="A1314" s="42"/>
    </row>
    <row r="1315" spans="1:1">
      <c r="A1315" s="42"/>
    </row>
    <row r="1316" spans="1:1">
      <c r="A1316" s="42"/>
    </row>
    <row r="1317" spans="1:1">
      <c r="A1317" s="42"/>
    </row>
    <row r="1318" spans="1:1">
      <c r="A1318" s="42"/>
    </row>
    <row r="1319" spans="1:1">
      <c r="A1319" s="42"/>
    </row>
    <row r="1320" spans="1:1">
      <c r="A1320" s="42"/>
    </row>
    <row r="1321" spans="1:1">
      <c r="A1321" s="42"/>
    </row>
    <row r="1322" spans="1:1">
      <c r="A1322" s="42"/>
    </row>
    <row r="1323" spans="1:1">
      <c r="A1323" s="42"/>
    </row>
    <row r="1324" spans="1:1">
      <c r="A1324" s="42"/>
    </row>
    <row r="1325" spans="1:1">
      <c r="A1325" s="42"/>
    </row>
    <row r="1326" spans="1:1">
      <c r="A1326" s="42"/>
    </row>
    <row r="1327" spans="1:1">
      <c r="A1327" s="42"/>
    </row>
    <row r="1328" spans="1:1">
      <c r="A1328" s="42"/>
    </row>
    <row r="1329" spans="1:1">
      <c r="A1329" s="42"/>
    </row>
    <row r="1330" spans="1:1">
      <c r="A1330" s="42"/>
    </row>
    <row r="1331" spans="1:1">
      <c r="A1331" s="42"/>
    </row>
    <row r="1332" spans="1:1">
      <c r="A1332" s="42"/>
    </row>
    <row r="1333" spans="1:1">
      <c r="A1333" s="42"/>
    </row>
    <row r="1334" spans="1:1">
      <c r="A1334" s="42"/>
    </row>
    <row r="1335" spans="1:1">
      <c r="A1335" s="42"/>
    </row>
    <row r="1336" spans="1:1">
      <c r="A1336" s="42"/>
    </row>
    <row r="1337" spans="1:1">
      <c r="A1337" s="42"/>
    </row>
    <row r="1338" spans="1:1">
      <c r="A1338" s="42"/>
    </row>
    <row r="1339" spans="1:1">
      <c r="A1339" s="42"/>
    </row>
    <row r="1340" spans="1:1">
      <c r="A1340" s="42"/>
    </row>
    <row r="1341" spans="1:1">
      <c r="A1341" s="42"/>
    </row>
    <row r="1342" spans="1:1">
      <c r="A1342" s="42"/>
    </row>
    <row r="1343" spans="1:1">
      <c r="A1343" s="42"/>
    </row>
    <row r="1344" spans="1:1">
      <c r="A1344" s="42"/>
    </row>
    <row r="1345" spans="1:1">
      <c r="A1345" s="42"/>
    </row>
    <row r="1346" spans="1:1">
      <c r="A1346" s="42"/>
    </row>
    <row r="1347" spans="1:1">
      <c r="A1347" s="42"/>
    </row>
    <row r="1348" spans="1:1">
      <c r="A1348" s="42"/>
    </row>
    <row r="1349" spans="1:1">
      <c r="A1349" s="42"/>
    </row>
    <row r="1350" spans="1:1">
      <c r="A1350" s="42"/>
    </row>
    <row r="1351" spans="1:1">
      <c r="A1351" s="42"/>
    </row>
    <row r="1352" spans="1:1">
      <c r="A1352" s="42"/>
    </row>
    <row r="1353" spans="1:1">
      <c r="A1353" s="42"/>
    </row>
    <row r="1354" spans="1:1">
      <c r="A1354" s="42"/>
    </row>
    <row r="1355" spans="1:1">
      <c r="A1355" s="42"/>
    </row>
    <row r="1356" spans="1:1">
      <c r="A1356" s="42"/>
    </row>
    <row r="1357" spans="1:1">
      <c r="A1357" s="42"/>
    </row>
    <row r="1358" spans="1:1">
      <c r="A1358" s="42"/>
    </row>
    <row r="1359" spans="1:1">
      <c r="A1359" s="42"/>
    </row>
    <row r="1360" spans="1:1">
      <c r="A1360" s="42"/>
    </row>
    <row r="1361" spans="1:1">
      <c r="A1361" s="42"/>
    </row>
    <row r="1362" spans="1:1">
      <c r="A1362" s="42"/>
    </row>
    <row r="1363" spans="1:1">
      <c r="A1363" s="42"/>
    </row>
    <row r="1364" spans="1:1">
      <c r="A1364" s="42"/>
    </row>
    <row r="1365" spans="1:1">
      <c r="A1365" s="42"/>
    </row>
    <row r="1366" spans="1:1">
      <c r="A1366" s="42"/>
    </row>
    <row r="1367" spans="1:1">
      <c r="A1367" s="42"/>
    </row>
    <row r="1368" spans="1:1">
      <c r="A1368" s="42"/>
    </row>
    <row r="1369" spans="1:1">
      <c r="A1369" s="42"/>
    </row>
    <row r="1370" spans="1:1">
      <c r="A1370" s="42"/>
    </row>
    <row r="1371" spans="1:1">
      <c r="A1371" s="42"/>
    </row>
    <row r="1372" spans="1:1">
      <c r="A1372" s="42"/>
    </row>
    <row r="1373" spans="1:1">
      <c r="A1373" s="42"/>
    </row>
    <row r="1374" spans="1:1">
      <c r="A1374" s="42"/>
    </row>
    <row r="1375" spans="1:1">
      <c r="A1375" s="42"/>
    </row>
    <row r="1376" spans="1:1">
      <c r="A1376" s="42"/>
    </row>
    <row r="1377" spans="1:1">
      <c r="A1377" s="42"/>
    </row>
    <row r="1378" spans="1:1">
      <c r="A1378" s="42"/>
    </row>
    <row r="1379" spans="1:1">
      <c r="A1379" s="42"/>
    </row>
    <row r="1380" spans="1:1">
      <c r="A1380" s="42"/>
    </row>
    <row r="1381" spans="1:1">
      <c r="A1381" s="42"/>
    </row>
    <row r="1382" spans="1:1">
      <c r="A1382" s="42"/>
    </row>
    <row r="1383" spans="1:1">
      <c r="A1383" s="42"/>
    </row>
    <row r="1384" spans="1:1">
      <c r="A1384" s="42"/>
    </row>
    <row r="1385" spans="1:1">
      <c r="A1385" s="42"/>
    </row>
    <row r="1386" spans="1:1">
      <c r="A1386" s="42"/>
    </row>
    <row r="1387" spans="1:1">
      <c r="A1387" s="42"/>
    </row>
    <row r="1388" spans="1:1">
      <c r="A1388" s="42"/>
    </row>
    <row r="1389" spans="1:1">
      <c r="A1389" s="42"/>
    </row>
    <row r="1390" spans="1:1">
      <c r="A1390" s="42"/>
    </row>
    <row r="1391" spans="1:1">
      <c r="A1391" s="42"/>
    </row>
    <row r="1392" spans="1:1">
      <c r="A1392" s="42"/>
    </row>
    <row r="1393" spans="1:1">
      <c r="A1393" s="42"/>
    </row>
    <row r="1394" spans="1:1">
      <c r="A1394" s="42"/>
    </row>
    <row r="1395" spans="1:1">
      <c r="A1395" s="42"/>
    </row>
    <row r="1396" spans="1:1">
      <c r="A1396" s="42"/>
    </row>
    <row r="1397" spans="1:1">
      <c r="A1397" s="42"/>
    </row>
    <row r="1398" spans="1:1">
      <c r="A1398" s="42"/>
    </row>
    <row r="1399" spans="1:1">
      <c r="A1399" s="42"/>
    </row>
    <row r="1400" spans="1:1">
      <c r="A1400" s="42"/>
    </row>
    <row r="1401" spans="1:1">
      <c r="A1401" s="42"/>
    </row>
    <row r="1402" spans="1:1">
      <c r="A1402" s="42"/>
    </row>
    <row r="1403" spans="1:1">
      <c r="A1403" s="42"/>
    </row>
    <row r="1404" spans="1:1">
      <c r="A1404" s="42"/>
    </row>
    <row r="1405" spans="1:1">
      <c r="A1405" s="42"/>
    </row>
    <row r="1406" spans="1:1">
      <c r="A1406" s="42"/>
    </row>
    <row r="1407" spans="1:1">
      <c r="A1407" s="42"/>
    </row>
    <row r="1408" spans="1:1">
      <c r="A1408" s="42"/>
    </row>
    <row r="1409" spans="1:1">
      <c r="A1409" s="42"/>
    </row>
    <row r="1410" spans="1:1">
      <c r="A1410" s="42"/>
    </row>
    <row r="1411" spans="1:1">
      <c r="A1411" s="42"/>
    </row>
    <row r="1412" spans="1:1">
      <c r="A1412" s="42"/>
    </row>
    <row r="1413" spans="1:1">
      <c r="A1413" s="42"/>
    </row>
    <row r="1414" spans="1:1">
      <c r="A1414" s="42"/>
    </row>
    <row r="1415" spans="1:1">
      <c r="A1415" s="42"/>
    </row>
    <row r="1416" spans="1:1">
      <c r="A1416" s="42"/>
    </row>
    <row r="1417" spans="1:1">
      <c r="A1417" s="42"/>
    </row>
    <row r="1418" spans="1:1">
      <c r="A1418" s="42"/>
    </row>
    <row r="1419" spans="1:1">
      <c r="A1419" s="42"/>
    </row>
    <row r="1420" spans="1:1">
      <c r="A1420" s="42"/>
    </row>
    <row r="1421" spans="1:1">
      <c r="A1421" s="42"/>
    </row>
    <row r="1422" spans="1:1">
      <c r="A1422" s="42"/>
    </row>
    <row r="1423" spans="1:1">
      <c r="A1423" s="42"/>
    </row>
    <row r="1424" spans="1:1">
      <c r="A1424" s="42"/>
    </row>
    <row r="1425" spans="1:1">
      <c r="A1425" s="42"/>
    </row>
    <row r="1426" spans="1:1">
      <c r="A1426" s="42"/>
    </row>
    <row r="1427" spans="1:1">
      <c r="A1427" s="42"/>
    </row>
    <row r="1428" spans="1:1">
      <c r="A1428" s="42"/>
    </row>
    <row r="1429" spans="1:1">
      <c r="A1429" s="42"/>
    </row>
    <row r="1430" spans="1:1">
      <c r="A1430" s="42"/>
    </row>
    <row r="1431" spans="1:1">
      <c r="A1431" s="42"/>
    </row>
    <row r="1432" spans="1:1">
      <c r="A1432" s="42"/>
    </row>
    <row r="1433" spans="1:1">
      <c r="A1433" s="42"/>
    </row>
    <row r="1434" spans="1:1">
      <c r="A1434" s="42"/>
    </row>
    <row r="1435" spans="1:1">
      <c r="A1435" s="42"/>
    </row>
    <row r="1436" spans="1:1">
      <c r="A1436" s="42"/>
    </row>
    <row r="1437" spans="1:1">
      <c r="A1437" s="42"/>
    </row>
    <row r="1438" spans="1:1">
      <c r="A1438" s="42"/>
    </row>
    <row r="1439" spans="1:1">
      <c r="A1439" s="42"/>
    </row>
    <row r="1440" spans="1:1">
      <c r="A1440" s="42"/>
    </row>
    <row r="1441" spans="1:1">
      <c r="A1441" s="42"/>
    </row>
    <row r="1442" spans="1:1">
      <c r="A1442" s="42"/>
    </row>
    <row r="1443" spans="1:1">
      <c r="A1443" s="42"/>
    </row>
    <row r="1444" spans="1:1">
      <c r="A1444" s="42"/>
    </row>
    <row r="1445" spans="1:1">
      <c r="A1445" s="42"/>
    </row>
    <row r="1446" spans="1:1">
      <c r="A1446" s="42"/>
    </row>
    <row r="1447" spans="1:1">
      <c r="A1447" s="42"/>
    </row>
    <row r="1448" spans="1:1">
      <c r="A1448" s="42"/>
    </row>
    <row r="1449" spans="1:1">
      <c r="A1449" s="42"/>
    </row>
    <row r="1450" spans="1:1">
      <c r="A1450" s="42"/>
    </row>
    <row r="1451" spans="1:1">
      <c r="A1451" s="42"/>
    </row>
    <row r="1452" spans="1:1">
      <c r="A1452" s="42"/>
    </row>
    <row r="1453" spans="1:1">
      <c r="A1453" s="42"/>
    </row>
    <row r="1454" spans="1:1">
      <c r="A1454" s="42"/>
    </row>
    <row r="1455" spans="1:1">
      <c r="A1455" s="42"/>
    </row>
    <row r="1456" spans="1:1">
      <c r="A1456" s="42"/>
    </row>
    <row r="1457" spans="1:1">
      <c r="A1457" s="42"/>
    </row>
    <row r="1458" spans="1:1">
      <c r="A1458" s="42"/>
    </row>
    <row r="1459" spans="1:1">
      <c r="A1459" s="42"/>
    </row>
    <row r="1460" spans="1:1">
      <c r="A1460" s="42"/>
    </row>
    <row r="1461" spans="1:1">
      <c r="A1461" s="42"/>
    </row>
    <row r="1462" spans="1:1">
      <c r="A1462" s="42"/>
    </row>
    <row r="1463" spans="1:1">
      <c r="A1463" s="42"/>
    </row>
  </sheetData>
  <protectedRanges>
    <protectedRange sqref="E42:H42 E46:G46 E48:G48 A1 A159:A164 C1:H1 C47:G47 C49:G49 C4:H5 G2:H3 C274:C275 C287:H1048576 C280 A210:A274 A287:A1048576 E10:H10 E6:H7 C8:H9 C11:H11 E12:H16 C17:H18 E19:H19 C20:H21 E22:H25 C26:H26 E27:H38 C39:H41 C45:G45 C43:H44 H45:H49 E50:H51 C52:H52 E53:H53 C54:H55 E56:H56 C57:H57 E58:H59 C60:H64 E65:H65 C66:H71 E72:H73 C74:H90 E91:H91 C92:H113 E114:H127 F128:H277 C278:H279 E280:H282 N1:V1048576 F283:H286 A276:A279 A154:A156 A4:A121" name="Range1"/>
    <protectedRange sqref="A125:A127" name="Range1_2"/>
    <protectedRange sqref="A128 A166 A170 A194" name="Range1_3"/>
    <protectedRange sqref="A129" name="Range1_4"/>
    <protectedRange sqref="A130 A165 A168:A169 A174:A176 A184 A280:A281 A283:A284" name="Range1_5"/>
    <protectedRange sqref="A131 A167 A171" name="Range1_6"/>
    <protectedRange sqref="A132 A193" name="Range1_7"/>
    <protectedRange sqref="A133 A285:A286" name="Range1_8"/>
    <protectedRange sqref="A134 A177 A186 A198 A195" name="Range1_9"/>
    <protectedRange sqref="A135 A179 A187 A199 A196" name="Range1_10"/>
    <protectedRange sqref="A136 A178 A185 A200 A197 A282" name="Range1_11"/>
    <protectedRange sqref="A137 A180 A201" name="Range1_12"/>
    <protectedRange sqref="A138 A181 A202" name="Range1_13"/>
    <protectedRange sqref="A139" name="Range1_14"/>
    <protectedRange sqref="A140" name="Range1_15"/>
    <protectedRange sqref="A141" name="Range1_16"/>
    <protectedRange sqref="A142" name="Range1_17"/>
    <protectedRange sqref="A143" name="Range1_18"/>
    <protectedRange sqref="A144" name="Range1_19"/>
    <protectedRange sqref="A145" name="Range1_20"/>
    <protectedRange sqref="A146" name="Range1_21"/>
    <protectedRange sqref="A147 A190 A203 A275" name="Range1_22"/>
    <protectedRange sqref="A148 A173 A206" name="Range1_23"/>
    <protectedRange sqref="A149 A172 A191 A207" name="Range1_24"/>
    <protectedRange sqref="A150 A183 A189 A208" name="Range1_25"/>
    <protectedRange sqref="A151 A157 A188 A205" name="Range1_26"/>
    <protectedRange sqref="A152 A182 A209" name="Range1_27"/>
    <protectedRange sqref="A153 A192 A204" name="Range1_28"/>
    <protectedRange sqref="A158" name="Range1_29"/>
    <protectedRange sqref="B1 B4 B6:B1048576" name="Range1_30"/>
    <protectedRange sqref="I4 M4 I1:M1 J4:L194 I6:I194 M6:M194 I195:M1048576" name="Range1_31"/>
    <protectedRange sqref="A2:F3" name="Range1_6_3"/>
  </protectedRanges>
  <autoFilter ref="A5:V286"/>
  <mergeCells count="2">
    <mergeCell ref="P159:P160"/>
    <mergeCell ref="R159:R160"/>
  </mergeCells>
  <phoneticPr fontId="4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Sheet1!$D$3:$D$4</xm:f>
          </x14:formula1>
          <xm:sqref>T6:T286</xm:sqref>
        </x14:dataValidation>
        <x14:dataValidation type="list" allowBlank="1" showInputMessage="1" showErrorMessage="1">
          <x14:formula1>
            <xm:f>Sheet1!$E$3:$E$4</xm:f>
          </x14:formula1>
          <xm:sqref>U6:U286</xm:sqref>
        </x14:dataValidation>
        <x14:dataValidation type="list" allowBlank="1" showInputMessage="1" showErrorMessage="1">
          <x14:formula1>
            <xm:f>Sheet1!$G$3:$G$6</xm:f>
          </x14:formula1>
          <xm:sqref>N6:N286</xm:sqref>
        </x14:dataValidation>
        <x14:dataValidation type="list" allowBlank="1" showInputMessage="1" showErrorMessage="1">
          <x14:formula1>
            <xm:f>Sheet1!$J$3:$J$14</xm:f>
          </x14:formula1>
          <xm:sqref>G6:G286</xm:sqref>
        </x14:dataValidation>
        <x14:dataValidation type="list" allowBlank="1" showInputMessage="1" showErrorMessage="1">
          <x14:formula1>
            <xm:f>Sheet1!$F$3:$F$6</xm:f>
          </x14:formula1>
          <xm:sqref>H6:H286</xm:sqref>
        </x14:dataValidation>
        <x14:dataValidation type="list" allowBlank="1" showInputMessage="1" showErrorMessage="1">
          <x14:formula1>
            <xm:f>Sheet1!$A$2:$A$64</xm:f>
          </x14:formula1>
          <xm:sqref>A6:A286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workbookViewId="0"/>
  </sheetViews>
  <sheetFormatPr defaultRowHeight="14.25"/>
  <cols>
    <col min="1" max="1" width="18.625" bestFit="1" customWidth="1"/>
    <col min="2" max="2" width="19" bestFit="1" customWidth="1"/>
    <col min="3" max="3" width="26.125" bestFit="1" customWidth="1"/>
    <col min="4" max="4" width="12.375" bestFit="1" customWidth="1"/>
    <col min="5" max="5" width="11.25" bestFit="1" customWidth="1"/>
    <col min="7" max="7" width="9.375" bestFit="1" customWidth="1"/>
    <col min="9" max="9" width="19.25" bestFit="1" customWidth="1"/>
    <col min="11" max="11" width="28.75" bestFit="1" customWidth="1"/>
    <col min="12" max="12" width="26.375" bestFit="1" customWidth="1"/>
    <col min="13" max="13" width="13.25" bestFit="1" customWidth="1"/>
    <col min="14" max="14" width="11.875" bestFit="1" customWidth="1"/>
    <col min="15" max="15" width="14.625" bestFit="1" customWidth="1"/>
    <col min="16" max="16" width="15.875" bestFit="1" customWidth="1"/>
    <col min="18" max="18" width="16.625" bestFit="1" customWidth="1"/>
    <col min="19" max="19" width="22.25" bestFit="1" customWidth="1"/>
    <col min="20" max="20" width="17.75" bestFit="1" customWidth="1"/>
    <col min="21" max="21" width="17.625" bestFit="1" customWidth="1"/>
  </cols>
  <sheetData>
    <row r="1" spans="1:22">
      <c r="A1" s="416" t="s">
        <v>392</v>
      </c>
    </row>
    <row r="3" spans="1:22">
      <c r="A3" t="s">
        <v>2</v>
      </c>
      <c r="B3" t="s">
        <v>42</v>
      </c>
      <c r="C3" t="s">
        <v>43</v>
      </c>
      <c r="D3" t="s">
        <v>44</v>
      </c>
      <c r="E3" t="s">
        <v>45</v>
      </c>
      <c r="F3" t="s">
        <v>48</v>
      </c>
      <c r="G3" t="s">
        <v>49</v>
      </c>
      <c r="H3" t="s">
        <v>303</v>
      </c>
      <c r="I3" t="s">
        <v>50</v>
      </c>
      <c r="J3" t="s">
        <v>304</v>
      </c>
      <c r="K3" t="s">
        <v>305</v>
      </c>
      <c r="L3" t="s">
        <v>306</v>
      </c>
      <c r="M3" t="s">
        <v>307</v>
      </c>
      <c r="N3" t="s">
        <v>295</v>
      </c>
      <c r="O3" t="s">
        <v>393</v>
      </c>
      <c r="P3" t="s">
        <v>309</v>
      </c>
      <c r="Q3" t="s">
        <v>310</v>
      </c>
      <c r="R3" t="s">
        <v>311</v>
      </c>
      <c r="S3" t="s">
        <v>312</v>
      </c>
      <c r="T3" t="s">
        <v>313</v>
      </c>
      <c r="U3" t="s">
        <v>314</v>
      </c>
      <c r="V3" t="s">
        <v>71</v>
      </c>
    </row>
    <row r="4" spans="1:22">
      <c r="A4" t="s">
        <v>359</v>
      </c>
      <c r="B4" t="s">
        <v>300</v>
      </c>
      <c r="C4" t="s">
        <v>394</v>
      </c>
      <c r="D4">
        <v>610202026</v>
      </c>
      <c r="E4" t="s">
        <v>0</v>
      </c>
      <c r="F4">
        <v>2023</v>
      </c>
      <c r="G4">
        <v>6</v>
      </c>
      <c r="H4" t="s">
        <v>322</v>
      </c>
      <c r="I4" s="415">
        <v>45608</v>
      </c>
      <c r="J4">
        <v>16</v>
      </c>
      <c r="K4">
        <v>329160</v>
      </c>
      <c r="L4">
        <v>329160</v>
      </c>
      <c r="M4">
        <v>1000000</v>
      </c>
      <c r="N4" t="s">
        <v>298</v>
      </c>
      <c r="O4" s="415">
        <v>45087</v>
      </c>
      <c r="P4">
        <v>257400</v>
      </c>
      <c r="Q4">
        <v>1</v>
      </c>
      <c r="R4">
        <v>257400</v>
      </c>
      <c r="S4" t="s">
        <v>316</v>
      </c>
      <c r="T4" t="s">
        <v>317</v>
      </c>
      <c r="U4" t="s">
        <v>318</v>
      </c>
    </row>
    <row r="5" spans="1:22">
      <c r="A5" t="s">
        <v>359</v>
      </c>
      <c r="B5" t="s">
        <v>300</v>
      </c>
      <c r="C5" t="s">
        <v>395</v>
      </c>
      <c r="D5">
        <v>610202016</v>
      </c>
      <c r="E5" t="s">
        <v>0</v>
      </c>
      <c r="F5">
        <v>2023</v>
      </c>
      <c r="G5">
        <v>6</v>
      </c>
      <c r="H5" t="s">
        <v>322</v>
      </c>
      <c r="I5" s="415">
        <v>45608</v>
      </c>
      <c r="J5">
        <v>16</v>
      </c>
      <c r="K5">
        <v>968240</v>
      </c>
      <c r="L5">
        <v>968240</v>
      </c>
      <c r="M5">
        <v>1000000</v>
      </c>
      <c r="N5" t="s">
        <v>298</v>
      </c>
      <c r="O5" s="415">
        <v>45087</v>
      </c>
      <c r="P5">
        <v>272800</v>
      </c>
      <c r="Q5">
        <v>1</v>
      </c>
      <c r="R5">
        <v>272800</v>
      </c>
      <c r="S5" t="s">
        <v>316</v>
      </c>
      <c r="T5" t="s">
        <v>317</v>
      </c>
      <c r="U5" t="s">
        <v>318</v>
      </c>
    </row>
    <row r="6" spans="1:22">
      <c r="A6" t="s">
        <v>359</v>
      </c>
      <c r="B6" t="s">
        <v>300</v>
      </c>
      <c r="C6" t="s">
        <v>396</v>
      </c>
      <c r="D6">
        <v>610202021</v>
      </c>
      <c r="E6" t="s">
        <v>0</v>
      </c>
      <c r="F6">
        <v>2023</v>
      </c>
      <c r="G6">
        <v>6</v>
      </c>
      <c r="H6" t="s">
        <v>322</v>
      </c>
      <c r="I6" s="415">
        <v>45608</v>
      </c>
      <c r="J6">
        <v>16</v>
      </c>
      <c r="K6">
        <v>968240</v>
      </c>
      <c r="L6">
        <v>968240</v>
      </c>
      <c r="M6">
        <v>1000000</v>
      </c>
      <c r="N6" t="s">
        <v>298</v>
      </c>
      <c r="O6" s="415">
        <v>45087</v>
      </c>
      <c r="P6">
        <v>282700</v>
      </c>
      <c r="Q6">
        <v>1</v>
      </c>
      <c r="R6">
        <v>282700</v>
      </c>
      <c r="S6" t="s">
        <v>316</v>
      </c>
      <c r="T6" t="s">
        <v>317</v>
      </c>
      <c r="U6" t="s">
        <v>318</v>
      </c>
    </row>
    <row r="7" spans="1:22">
      <c r="A7" t="s">
        <v>359</v>
      </c>
      <c r="B7" t="s">
        <v>300</v>
      </c>
      <c r="C7" t="s">
        <v>397</v>
      </c>
      <c r="D7">
        <v>620202004</v>
      </c>
      <c r="E7" t="s">
        <v>0</v>
      </c>
      <c r="F7">
        <v>2023</v>
      </c>
      <c r="G7">
        <v>6</v>
      </c>
      <c r="H7" t="s">
        <v>322</v>
      </c>
      <c r="I7" s="415">
        <v>45608</v>
      </c>
      <c r="J7">
        <v>4</v>
      </c>
      <c r="K7">
        <v>202800</v>
      </c>
      <c r="L7">
        <v>202800</v>
      </c>
      <c r="M7">
        <v>1000000</v>
      </c>
      <c r="N7" t="s">
        <v>298</v>
      </c>
      <c r="O7" s="415">
        <v>45087</v>
      </c>
      <c r="P7">
        <v>290850</v>
      </c>
      <c r="Q7">
        <v>1</v>
      </c>
      <c r="R7">
        <v>290850</v>
      </c>
      <c r="S7" t="s">
        <v>316</v>
      </c>
      <c r="T7" t="s">
        <v>317</v>
      </c>
      <c r="U7" t="s">
        <v>318</v>
      </c>
    </row>
    <row r="8" spans="1:22">
      <c r="A8" t="s">
        <v>359</v>
      </c>
      <c r="B8" t="s">
        <v>300</v>
      </c>
      <c r="C8" t="s">
        <v>398</v>
      </c>
      <c r="D8">
        <v>610202015</v>
      </c>
      <c r="E8" t="s">
        <v>0</v>
      </c>
      <c r="F8">
        <v>2023</v>
      </c>
      <c r="G8">
        <v>6</v>
      </c>
      <c r="H8" t="s">
        <v>322</v>
      </c>
      <c r="I8" s="415">
        <v>45608</v>
      </c>
      <c r="J8" t="s">
        <v>399</v>
      </c>
      <c r="K8">
        <v>198640</v>
      </c>
      <c r="L8">
        <v>198640</v>
      </c>
      <c r="M8">
        <v>1000000</v>
      </c>
      <c r="N8" t="s">
        <v>298</v>
      </c>
      <c r="O8" s="415">
        <v>45087</v>
      </c>
      <c r="P8">
        <v>291900</v>
      </c>
      <c r="Q8">
        <v>1</v>
      </c>
      <c r="R8">
        <v>291900</v>
      </c>
      <c r="S8" t="s">
        <v>316</v>
      </c>
      <c r="T8" t="s">
        <v>317</v>
      </c>
      <c r="U8" t="s">
        <v>318</v>
      </c>
    </row>
    <row r="9" spans="1:22">
      <c r="A9" t="s">
        <v>359</v>
      </c>
      <c r="B9" t="s">
        <v>300</v>
      </c>
      <c r="C9" t="s">
        <v>400</v>
      </c>
      <c r="D9">
        <v>610202027</v>
      </c>
      <c r="E9" t="s">
        <v>0</v>
      </c>
      <c r="F9">
        <v>2023</v>
      </c>
      <c r="G9">
        <v>6</v>
      </c>
      <c r="H9" t="s">
        <v>322</v>
      </c>
      <c r="I9" s="415">
        <v>45608</v>
      </c>
      <c r="J9" t="s">
        <v>399</v>
      </c>
      <c r="K9">
        <v>384280</v>
      </c>
      <c r="L9">
        <v>384280</v>
      </c>
      <c r="M9">
        <v>1000000</v>
      </c>
      <c r="N9" t="s">
        <v>298</v>
      </c>
      <c r="O9" s="415">
        <v>45087</v>
      </c>
      <c r="P9">
        <v>304700</v>
      </c>
      <c r="Q9">
        <v>1</v>
      </c>
      <c r="R9">
        <v>304700</v>
      </c>
      <c r="S9" t="s">
        <v>316</v>
      </c>
      <c r="T9" t="s">
        <v>317</v>
      </c>
      <c r="U9" t="s">
        <v>318</v>
      </c>
    </row>
    <row r="10" spans="1:22">
      <c r="A10" t="s">
        <v>130</v>
      </c>
      <c r="B10" t="s">
        <v>36</v>
      </c>
      <c r="C10" t="s">
        <v>165</v>
      </c>
      <c r="D10">
        <v>130040670023443</v>
      </c>
      <c r="E10" t="s">
        <v>0</v>
      </c>
      <c r="F10">
        <v>2024</v>
      </c>
      <c r="G10">
        <v>1</v>
      </c>
      <c r="H10" t="s">
        <v>325</v>
      </c>
      <c r="I10" s="415">
        <v>45608</v>
      </c>
      <c r="J10">
        <v>48</v>
      </c>
      <c r="K10">
        <v>2817880</v>
      </c>
      <c r="L10">
        <v>2817880</v>
      </c>
      <c r="M10">
        <v>1000000</v>
      </c>
      <c r="N10" t="s">
        <v>298</v>
      </c>
      <c r="O10" s="415">
        <v>45322</v>
      </c>
      <c r="P10">
        <v>315000</v>
      </c>
      <c r="Q10">
        <v>1</v>
      </c>
      <c r="R10">
        <v>315000</v>
      </c>
      <c r="S10" t="s">
        <v>316</v>
      </c>
      <c r="T10" t="s">
        <v>317</v>
      </c>
      <c r="U10" t="s">
        <v>318</v>
      </c>
    </row>
    <row r="11" spans="1:22">
      <c r="A11" t="s">
        <v>127</v>
      </c>
      <c r="B11" t="s">
        <v>36</v>
      </c>
      <c r="C11" t="s">
        <v>173</v>
      </c>
      <c r="D11">
        <v>130040670017658</v>
      </c>
      <c r="E11" t="s">
        <v>0</v>
      </c>
      <c r="F11">
        <v>2024</v>
      </c>
      <c r="G11">
        <v>1</v>
      </c>
      <c r="H11" t="s">
        <v>325</v>
      </c>
      <c r="I11" s="415">
        <v>45608</v>
      </c>
      <c r="J11">
        <v>48</v>
      </c>
      <c r="K11">
        <v>2709491.2</v>
      </c>
      <c r="L11">
        <v>2709491.2</v>
      </c>
      <c r="M11">
        <v>1000000</v>
      </c>
      <c r="N11" t="s">
        <v>298</v>
      </c>
      <c r="O11" s="415">
        <v>45322</v>
      </c>
      <c r="P11">
        <v>325000</v>
      </c>
      <c r="Q11">
        <v>1</v>
      </c>
      <c r="R11">
        <v>325000</v>
      </c>
      <c r="S11" t="s">
        <v>316</v>
      </c>
      <c r="T11" t="s">
        <v>317</v>
      </c>
      <c r="U11" t="s">
        <v>318</v>
      </c>
    </row>
    <row r="12" spans="1:22">
      <c r="A12" t="s">
        <v>130</v>
      </c>
      <c r="B12" t="s">
        <v>36</v>
      </c>
      <c r="C12" t="s">
        <v>169</v>
      </c>
      <c r="D12">
        <v>130040670024534</v>
      </c>
      <c r="E12" t="s">
        <v>0</v>
      </c>
      <c r="F12">
        <v>2024</v>
      </c>
      <c r="G12">
        <v>1</v>
      </c>
      <c r="H12" t="s">
        <v>325</v>
      </c>
      <c r="I12" s="415">
        <v>45608</v>
      </c>
      <c r="J12">
        <v>48</v>
      </c>
      <c r="K12">
        <v>2935296</v>
      </c>
      <c r="L12">
        <v>2935296</v>
      </c>
      <c r="M12">
        <v>1000000</v>
      </c>
      <c r="N12" t="s">
        <v>298</v>
      </c>
      <c r="O12" s="415">
        <v>45322</v>
      </c>
      <c r="P12">
        <v>345000</v>
      </c>
      <c r="Q12">
        <v>1</v>
      </c>
      <c r="R12">
        <v>345000</v>
      </c>
      <c r="S12" t="s">
        <v>316</v>
      </c>
      <c r="T12" t="s">
        <v>317</v>
      </c>
      <c r="U12" t="s">
        <v>318</v>
      </c>
    </row>
    <row r="13" spans="1:22">
      <c r="A13" t="s">
        <v>113</v>
      </c>
      <c r="B13" t="s">
        <v>36</v>
      </c>
      <c r="C13" t="s">
        <v>185</v>
      </c>
      <c r="D13">
        <v>130040670023906</v>
      </c>
      <c r="E13" t="s">
        <v>0</v>
      </c>
      <c r="F13">
        <v>2024</v>
      </c>
      <c r="G13">
        <v>1</v>
      </c>
      <c r="H13" t="s">
        <v>325</v>
      </c>
      <c r="I13" s="415">
        <v>45608</v>
      </c>
      <c r="J13">
        <v>48</v>
      </c>
      <c r="K13">
        <v>2609152</v>
      </c>
      <c r="L13">
        <v>2609152</v>
      </c>
      <c r="M13">
        <v>1000000</v>
      </c>
      <c r="N13" t="s">
        <v>298</v>
      </c>
      <c r="O13" s="415">
        <v>45322</v>
      </c>
      <c r="P13">
        <v>355000</v>
      </c>
      <c r="Q13">
        <v>1</v>
      </c>
      <c r="R13">
        <v>355000</v>
      </c>
      <c r="S13" t="s">
        <v>316</v>
      </c>
      <c r="T13" t="s">
        <v>317</v>
      </c>
      <c r="U13" t="s">
        <v>318</v>
      </c>
    </row>
    <row r="14" spans="1:22">
      <c r="A14" t="s">
        <v>359</v>
      </c>
      <c r="B14" t="s">
        <v>300</v>
      </c>
      <c r="C14" t="s">
        <v>401</v>
      </c>
      <c r="D14">
        <v>620202001</v>
      </c>
      <c r="E14" t="s">
        <v>0</v>
      </c>
      <c r="F14">
        <v>2023</v>
      </c>
      <c r="G14">
        <v>6</v>
      </c>
      <c r="H14" t="s">
        <v>322</v>
      </c>
      <c r="I14" s="415">
        <v>45608</v>
      </c>
      <c r="J14">
        <v>16</v>
      </c>
      <c r="K14">
        <v>962520</v>
      </c>
      <c r="L14">
        <v>962520</v>
      </c>
      <c r="M14">
        <v>1000000</v>
      </c>
      <c r="N14" t="s">
        <v>298</v>
      </c>
      <c r="O14" s="415">
        <v>45087</v>
      </c>
      <c r="P14">
        <v>368600</v>
      </c>
      <c r="Q14">
        <v>1</v>
      </c>
      <c r="R14">
        <v>368600</v>
      </c>
      <c r="S14" t="s">
        <v>316</v>
      </c>
      <c r="T14" t="s">
        <v>317</v>
      </c>
      <c r="U14" t="s">
        <v>318</v>
      </c>
    </row>
    <row r="15" spans="1:22">
      <c r="A15" t="s">
        <v>359</v>
      </c>
      <c r="B15" t="s">
        <v>300</v>
      </c>
      <c r="C15" t="s">
        <v>402</v>
      </c>
      <c r="D15">
        <v>610202018</v>
      </c>
      <c r="E15" t="s">
        <v>0</v>
      </c>
      <c r="F15">
        <v>2023</v>
      </c>
      <c r="G15">
        <v>6</v>
      </c>
      <c r="H15" t="s">
        <v>322</v>
      </c>
      <c r="I15" s="415">
        <v>45608</v>
      </c>
      <c r="J15">
        <v>16</v>
      </c>
      <c r="K15">
        <v>360360</v>
      </c>
      <c r="L15">
        <v>360360</v>
      </c>
      <c r="M15">
        <v>1000000</v>
      </c>
      <c r="N15" t="s">
        <v>298</v>
      </c>
      <c r="O15" s="415">
        <v>45087</v>
      </c>
      <c r="P15">
        <v>395000</v>
      </c>
      <c r="Q15">
        <v>1</v>
      </c>
      <c r="R15">
        <v>395000</v>
      </c>
      <c r="S15" t="s">
        <v>316</v>
      </c>
      <c r="T15" t="s">
        <v>317</v>
      </c>
      <c r="U15" t="s">
        <v>318</v>
      </c>
    </row>
    <row r="16" spans="1:22">
      <c r="A16" t="s">
        <v>96</v>
      </c>
      <c r="B16" t="s">
        <v>36</v>
      </c>
      <c r="C16" t="s">
        <v>403</v>
      </c>
      <c r="D16">
        <v>353003233</v>
      </c>
      <c r="E16" t="s">
        <v>0</v>
      </c>
      <c r="F16">
        <v>2022</v>
      </c>
      <c r="G16">
        <v>3</v>
      </c>
      <c r="H16" t="s">
        <v>325</v>
      </c>
      <c r="I16" s="415">
        <v>45608</v>
      </c>
      <c r="J16">
        <v>32</v>
      </c>
      <c r="K16">
        <v>1925485.7142857143</v>
      </c>
      <c r="L16">
        <v>1925485.7142857143</v>
      </c>
      <c r="M16">
        <v>1000000</v>
      </c>
      <c r="N16" t="s">
        <v>298</v>
      </c>
      <c r="O16" s="415">
        <v>44621</v>
      </c>
      <c r="P16">
        <v>396100</v>
      </c>
      <c r="Q16">
        <v>1</v>
      </c>
      <c r="R16">
        <v>396100</v>
      </c>
      <c r="S16" t="s">
        <v>404</v>
      </c>
      <c r="T16" t="s">
        <v>317</v>
      </c>
      <c r="U16" t="s">
        <v>318</v>
      </c>
    </row>
    <row r="17" spans="1:21">
      <c r="A17" t="s">
        <v>359</v>
      </c>
      <c r="B17" t="s">
        <v>300</v>
      </c>
      <c r="C17" t="s">
        <v>405</v>
      </c>
      <c r="D17">
        <v>620202009</v>
      </c>
      <c r="E17" t="s">
        <v>0</v>
      </c>
      <c r="F17">
        <v>2023</v>
      </c>
      <c r="G17">
        <v>6</v>
      </c>
      <c r="H17" t="s">
        <v>322</v>
      </c>
      <c r="I17" s="415">
        <v>45608</v>
      </c>
      <c r="J17">
        <v>16</v>
      </c>
      <c r="K17">
        <v>877760</v>
      </c>
      <c r="L17">
        <v>877760</v>
      </c>
      <c r="M17">
        <v>1000000</v>
      </c>
      <c r="N17" t="s">
        <v>298</v>
      </c>
      <c r="O17" s="415">
        <v>45087</v>
      </c>
      <c r="P17">
        <v>404300</v>
      </c>
      <c r="Q17">
        <v>1</v>
      </c>
      <c r="R17">
        <v>404300</v>
      </c>
      <c r="S17" t="s">
        <v>316</v>
      </c>
      <c r="T17" t="s">
        <v>317</v>
      </c>
      <c r="U17" t="s">
        <v>318</v>
      </c>
    </row>
    <row r="18" spans="1:21">
      <c r="A18" t="s">
        <v>359</v>
      </c>
      <c r="B18" t="s">
        <v>300</v>
      </c>
      <c r="C18" t="s">
        <v>406</v>
      </c>
      <c r="D18">
        <v>610202032</v>
      </c>
      <c r="E18" t="s">
        <v>0</v>
      </c>
      <c r="F18">
        <v>2023</v>
      </c>
      <c r="G18">
        <v>6</v>
      </c>
      <c r="H18" t="s">
        <v>322</v>
      </c>
      <c r="I18" s="415">
        <v>45608</v>
      </c>
      <c r="J18">
        <v>8</v>
      </c>
      <c r="K18">
        <v>296400</v>
      </c>
      <c r="L18">
        <v>296400</v>
      </c>
      <c r="M18">
        <v>1000000</v>
      </c>
      <c r="N18" t="s">
        <v>298</v>
      </c>
      <c r="O18" s="415">
        <v>45087</v>
      </c>
      <c r="P18">
        <v>421300</v>
      </c>
      <c r="Q18">
        <v>1</v>
      </c>
      <c r="R18">
        <v>421300</v>
      </c>
      <c r="S18" t="s">
        <v>316</v>
      </c>
      <c r="T18" t="s">
        <v>317</v>
      </c>
      <c r="U18" t="s">
        <v>318</v>
      </c>
    </row>
    <row r="19" spans="1:21">
      <c r="A19" t="s">
        <v>96</v>
      </c>
      <c r="B19" t="s">
        <v>36</v>
      </c>
      <c r="C19" t="s">
        <v>407</v>
      </c>
      <c r="D19">
        <v>353003231</v>
      </c>
      <c r="E19" t="s">
        <v>0</v>
      </c>
      <c r="F19">
        <v>2022</v>
      </c>
      <c r="G19">
        <v>3</v>
      </c>
      <c r="H19" t="s">
        <v>325</v>
      </c>
      <c r="I19" s="415">
        <v>45608</v>
      </c>
      <c r="J19">
        <v>16</v>
      </c>
      <c r="K19">
        <v>770194.28571428568</v>
      </c>
      <c r="L19">
        <v>770194.28571428568</v>
      </c>
      <c r="M19">
        <v>1000000</v>
      </c>
      <c r="N19" t="s">
        <v>298</v>
      </c>
      <c r="O19" s="415">
        <v>44621</v>
      </c>
      <c r="P19">
        <v>450000</v>
      </c>
      <c r="Q19">
        <v>1</v>
      </c>
      <c r="R19">
        <v>450000</v>
      </c>
      <c r="S19" t="s">
        <v>404</v>
      </c>
      <c r="T19" t="s">
        <v>317</v>
      </c>
      <c r="U19" t="s">
        <v>318</v>
      </c>
    </row>
    <row r="20" spans="1:21">
      <c r="A20" t="s">
        <v>106</v>
      </c>
      <c r="B20" t="s">
        <v>36</v>
      </c>
      <c r="C20" t="s">
        <v>199</v>
      </c>
      <c r="D20">
        <v>130040670018925</v>
      </c>
      <c r="E20" t="s">
        <v>0</v>
      </c>
      <c r="F20">
        <v>2024</v>
      </c>
      <c r="G20">
        <v>1</v>
      </c>
      <c r="H20" t="s">
        <v>325</v>
      </c>
      <c r="I20" s="415">
        <v>45608</v>
      </c>
      <c r="J20">
        <v>48</v>
      </c>
      <c r="K20">
        <v>2817880</v>
      </c>
      <c r="L20">
        <v>5635760</v>
      </c>
      <c r="M20">
        <v>1000000</v>
      </c>
      <c r="N20" t="s">
        <v>298</v>
      </c>
      <c r="O20" s="415">
        <v>45322</v>
      </c>
      <c r="P20">
        <v>257000</v>
      </c>
      <c r="Q20">
        <v>2</v>
      </c>
      <c r="R20">
        <v>514000</v>
      </c>
      <c r="S20" t="s">
        <v>316</v>
      </c>
      <c r="T20" t="s">
        <v>317</v>
      </c>
      <c r="U20" t="s">
        <v>318</v>
      </c>
    </row>
    <row r="21" spans="1:21">
      <c r="A21" t="s">
        <v>359</v>
      </c>
      <c r="B21" t="s">
        <v>300</v>
      </c>
      <c r="C21" t="s">
        <v>408</v>
      </c>
      <c r="D21">
        <v>610202005</v>
      </c>
      <c r="E21" t="s">
        <v>0</v>
      </c>
      <c r="F21">
        <v>2023</v>
      </c>
      <c r="G21">
        <v>6</v>
      </c>
      <c r="H21" t="s">
        <v>322</v>
      </c>
      <c r="I21" s="415">
        <v>45608</v>
      </c>
      <c r="J21">
        <v>4</v>
      </c>
      <c r="K21">
        <v>112840</v>
      </c>
      <c r="L21">
        <v>112840</v>
      </c>
      <c r="M21">
        <v>1000000</v>
      </c>
      <c r="N21" t="s">
        <v>298</v>
      </c>
      <c r="O21" s="415">
        <v>45087</v>
      </c>
      <c r="P21">
        <v>516000</v>
      </c>
      <c r="Q21">
        <v>1</v>
      </c>
      <c r="R21">
        <v>516000</v>
      </c>
      <c r="S21" t="s">
        <v>316</v>
      </c>
      <c r="T21" t="s">
        <v>317</v>
      </c>
      <c r="U21" t="s">
        <v>318</v>
      </c>
    </row>
    <row r="22" spans="1:21">
      <c r="A22" t="s">
        <v>127</v>
      </c>
      <c r="B22" t="s">
        <v>36</v>
      </c>
      <c r="C22" t="s">
        <v>158</v>
      </c>
      <c r="D22">
        <v>130040670017656</v>
      </c>
      <c r="E22" t="s">
        <v>0</v>
      </c>
      <c r="F22">
        <v>2024</v>
      </c>
      <c r="G22">
        <v>1</v>
      </c>
      <c r="H22" t="s">
        <v>325</v>
      </c>
      <c r="I22" s="415">
        <v>45608</v>
      </c>
      <c r="J22">
        <v>48</v>
      </c>
      <c r="K22">
        <v>2324275.2000000002</v>
      </c>
      <c r="L22">
        <v>2324275.2000000002</v>
      </c>
      <c r="M22">
        <v>1000000</v>
      </c>
      <c r="N22" t="s">
        <v>298</v>
      </c>
      <c r="O22" s="415">
        <v>45322</v>
      </c>
      <c r="P22">
        <v>525000</v>
      </c>
      <c r="Q22">
        <v>1</v>
      </c>
      <c r="R22">
        <v>525000</v>
      </c>
      <c r="S22" t="s">
        <v>316</v>
      </c>
      <c r="T22" t="s">
        <v>317</v>
      </c>
      <c r="U22" t="s">
        <v>318</v>
      </c>
    </row>
    <row r="23" spans="1:21">
      <c r="A23" t="s">
        <v>409</v>
      </c>
      <c r="B23" t="e">
        <v>#N/A</v>
      </c>
      <c r="C23" t="s">
        <v>147</v>
      </c>
      <c r="D23">
        <v>130010670071926</v>
      </c>
      <c r="E23" t="s">
        <v>0</v>
      </c>
      <c r="F23">
        <v>2024</v>
      </c>
      <c r="G23">
        <v>8</v>
      </c>
      <c r="H23" t="s">
        <v>325</v>
      </c>
      <c r="I23" s="415">
        <v>45608</v>
      </c>
      <c r="J23">
        <v>16</v>
      </c>
      <c r="K23">
        <v>1022242</v>
      </c>
      <c r="L23">
        <v>1022242</v>
      </c>
      <c r="M23">
        <v>1000000</v>
      </c>
      <c r="N23" t="s">
        <v>298</v>
      </c>
      <c r="O23" s="415">
        <v>45496</v>
      </c>
      <c r="P23">
        <v>558000</v>
      </c>
      <c r="Q23">
        <v>1</v>
      </c>
      <c r="R23">
        <v>558000</v>
      </c>
      <c r="S23" t="s">
        <v>410</v>
      </c>
      <c r="T23" t="s">
        <v>317</v>
      </c>
      <c r="U23" t="s">
        <v>318</v>
      </c>
    </row>
    <row r="24" spans="1:21">
      <c r="A24" t="s">
        <v>130</v>
      </c>
      <c r="B24" t="s">
        <v>36</v>
      </c>
      <c r="C24" t="s">
        <v>162</v>
      </c>
      <c r="D24">
        <v>130040670023445</v>
      </c>
      <c r="E24" t="s">
        <v>0</v>
      </c>
      <c r="F24">
        <v>2024</v>
      </c>
      <c r="G24">
        <v>1</v>
      </c>
      <c r="H24" t="s">
        <v>325</v>
      </c>
      <c r="I24" s="415">
        <v>45608</v>
      </c>
      <c r="J24">
        <v>48</v>
      </c>
      <c r="K24">
        <v>2404417.6</v>
      </c>
      <c r="L24">
        <v>2404417.6</v>
      </c>
      <c r="M24">
        <v>1000000</v>
      </c>
      <c r="N24" t="s">
        <v>298</v>
      </c>
      <c r="O24" s="415">
        <v>45322</v>
      </c>
      <c r="P24">
        <v>570000</v>
      </c>
      <c r="Q24">
        <v>1</v>
      </c>
      <c r="R24">
        <v>570000</v>
      </c>
      <c r="S24" t="s">
        <v>316</v>
      </c>
      <c r="T24" t="s">
        <v>317</v>
      </c>
      <c r="U24" t="s">
        <v>318</v>
      </c>
    </row>
    <row r="25" spans="1:21">
      <c r="A25" t="s">
        <v>359</v>
      </c>
      <c r="B25" t="s">
        <v>300</v>
      </c>
      <c r="C25" t="s">
        <v>411</v>
      </c>
      <c r="D25">
        <v>610202008</v>
      </c>
      <c r="E25" t="s">
        <v>0</v>
      </c>
      <c r="F25">
        <v>2023</v>
      </c>
      <c r="G25">
        <v>6</v>
      </c>
      <c r="H25" t="s">
        <v>322</v>
      </c>
      <c r="I25" s="415">
        <v>45608</v>
      </c>
      <c r="J25" t="s">
        <v>399</v>
      </c>
      <c r="K25">
        <v>92040</v>
      </c>
      <c r="L25">
        <v>92040</v>
      </c>
      <c r="M25">
        <v>1000000</v>
      </c>
      <c r="N25" t="s">
        <v>298</v>
      </c>
      <c r="O25" s="415">
        <v>45087</v>
      </c>
      <c r="P25">
        <v>579000</v>
      </c>
      <c r="Q25">
        <v>1</v>
      </c>
      <c r="R25">
        <v>579000</v>
      </c>
      <c r="S25" t="s">
        <v>316</v>
      </c>
      <c r="T25" t="s">
        <v>317</v>
      </c>
      <c r="U25" t="s">
        <v>318</v>
      </c>
    </row>
    <row r="26" spans="1:21">
      <c r="A26" t="s">
        <v>127</v>
      </c>
      <c r="B26" t="s">
        <v>36</v>
      </c>
      <c r="C26" t="s">
        <v>152</v>
      </c>
      <c r="D26">
        <v>130040670017662</v>
      </c>
      <c r="E26" t="s">
        <v>0</v>
      </c>
      <c r="F26">
        <v>2024</v>
      </c>
      <c r="G26">
        <v>1</v>
      </c>
      <c r="H26" t="s">
        <v>325</v>
      </c>
      <c r="I26" s="415">
        <v>45608</v>
      </c>
      <c r="J26">
        <v>48</v>
      </c>
      <c r="K26">
        <v>2709491.2</v>
      </c>
      <c r="L26">
        <v>2709491.2</v>
      </c>
      <c r="M26">
        <v>1000000</v>
      </c>
      <c r="N26" t="s">
        <v>298</v>
      </c>
      <c r="O26" s="415">
        <v>45322</v>
      </c>
      <c r="P26">
        <v>589000</v>
      </c>
      <c r="Q26">
        <v>1</v>
      </c>
      <c r="R26">
        <v>589000</v>
      </c>
      <c r="S26" t="s">
        <v>316</v>
      </c>
      <c r="T26" t="s">
        <v>317</v>
      </c>
      <c r="U26" t="s">
        <v>318</v>
      </c>
    </row>
    <row r="27" spans="1:21">
      <c r="A27" t="s">
        <v>130</v>
      </c>
      <c r="B27" t="s">
        <v>36</v>
      </c>
      <c r="C27" t="s">
        <v>160</v>
      </c>
      <c r="D27">
        <v>130040670023448</v>
      </c>
      <c r="E27" t="s">
        <v>0</v>
      </c>
      <c r="F27">
        <v>2024</v>
      </c>
      <c r="G27">
        <v>1</v>
      </c>
      <c r="H27" t="s">
        <v>325</v>
      </c>
      <c r="I27" s="415">
        <v>45608</v>
      </c>
      <c r="J27">
        <v>48</v>
      </c>
      <c r="K27">
        <v>2404417.6</v>
      </c>
      <c r="L27">
        <v>2404417.6</v>
      </c>
      <c r="M27">
        <v>1000000</v>
      </c>
      <c r="N27" t="s">
        <v>298</v>
      </c>
      <c r="O27" s="415">
        <v>45322</v>
      </c>
      <c r="P27">
        <v>615000</v>
      </c>
      <c r="Q27">
        <v>1</v>
      </c>
      <c r="R27">
        <v>615000</v>
      </c>
      <c r="S27" t="s">
        <v>316</v>
      </c>
      <c r="T27" t="s">
        <v>317</v>
      </c>
      <c r="U27" t="s">
        <v>318</v>
      </c>
    </row>
    <row r="28" spans="1:21">
      <c r="A28" t="s">
        <v>113</v>
      </c>
      <c r="B28" t="s">
        <v>36</v>
      </c>
      <c r="C28" t="s">
        <v>190</v>
      </c>
      <c r="D28">
        <v>130040670017669</v>
      </c>
      <c r="E28" t="s">
        <v>0</v>
      </c>
      <c r="F28">
        <v>2024</v>
      </c>
      <c r="G28">
        <v>1</v>
      </c>
      <c r="H28" t="s">
        <v>325</v>
      </c>
      <c r="I28" s="415">
        <v>45608</v>
      </c>
      <c r="J28">
        <v>48</v>
      </c>
      <c r="K28">
        <v>2709491</v>
      </c>
      <c r="L28">
        <v>5418982</v>
      </c>
      <c r="M28">
        <v>1000000</v>
      </c>
      <c r="N28" t="s">
        <v>298</v>
      </c>
      <c r="O28" s="415">
        <v>45322</v>
      </c>
      <c r="P28">
        <v>380000</v>
      </c>
      <c r="Q28">
        <v>2</v>
      </c>
      <c r="R28">
        <v>760000</v>
      </c>
      <c r="S28" t="s">
        <v>316</v>
      </c>
      <c r="T28" t="s">
        <v>317</v>
      </c>
      <c r="U28" t="s">
        <v>318</v>
      </c>
    </row>
    <row r="29" spans="1:21">
      <c r="A29" t="s">
        <v>96</v>
      </c>
      <c r="B29" t="s">
        <v>36</v>
      </c>
      <c r="C29" t="s">
        <v>412</v>
      </c>
      <c r="D29">
        <v>353003232</v>
      </c>
      <c r="E29" t="s">
        <v>0</v>
      </c>
      <c r="F29">
        <v>2022</v>
      </c>
      <c r="G29">
        <v>3</v>
      </c>
      <c r="H29" t="s">
        <v>325</v>
      </c>
      <c r="I29" s="415">
        <v>45608</v>
      </c>
      <c r="J29">
        <v>8</v>
      </c>
      <c r="K29">
        <v>385097.14285714284</v>
      </c>
      <c r="L29">
        <v>770194.28571428568</v>
      </c>
      <c r="M29">
        <v>1000000</v>
      </c>
      <c r="N29" t="s">
        <v>298</v>
      </c>
      <c r="O29" s="415">
        <v>44621</v>
      </c>
      <c r="P29">
        <v>415000</v>
      </c>
      <c r="Q29">
        <v>2</v>
      </c>
      <c r="R29">
        <v>830000</v>
      </c>
      <c r="S29" t="s">
        <v>404</v>
      </c>
      <c r="T29" t="s">
        <v>317</v>
      </c>
      <c r="U29" t="s">
        <v>318</v>
      </c>
    </row>
    <row r="30" spans="1:21">
      <c r="A30" t="s">
        <v>106</v>
      </c>
      <c r="B30" t="s">
        <v>36</v>
      </c>
      <c r="C30" t="s">
        <v>162</v>
      </c>
      <c r="D30">
        <v>130040670018929</v>
      </c>
      <c r="E30" t="s">
        <v>0</v>
      </c>
      <c r="F30">
        <v>2024</v>
      </c>
      <c r="G30">
        <v>1</v>
      </c>
      <c r="H30" t="s">
        <v>325</v>
      </c>
      <c r="I30" s="415">
        <v>45608</v>
      </c>
      <c r="J30">
        <v>48</v>
      </c>
      <c r="K30">
        <v>2490280</v>
      </c>
      <c r="L30">
        <v>4980560</v>
      </c>
      <c r="M30">
        <v>1000000</v>
      </c>
      <c r="N30" t="s">
        <v>298</v>
      </c>
      <c r="O30" s="415">
        <v>45322</v>
      </c>
      <c r="P30">
        <v>451000</v>
      </c>
      <c r="Q30">
        <v>2</v>
      </c>
      <c r="R30">
        <v>902000</v>
      </c>
      <c r="S30" t="s">
        <v>316</v>
      </c>
      <c r="T30" t="s">
        <v>317</v>
      </c>
      <c r="U30" t="s">
        <v>318</v>
      </c>
    </row>
    <row r="31" spans="1:21">
      <c r="A31" t="s">
        <v>130</v>
      </c>
      <c r="B31" t="s">
        <v>36</v>
      </c>
      <c r="C31" t="s">
        <v>158</v>
      </c>
      <c r="D31">
        <v>130040670023442</v>
      </c>
      <c r="E31" t="s">
        <v>0</v>
      </c>
      <c r="F31">
        <v>2024</v>
      </c>
      <c r="G31">
        <v>1</v>
      </c>
      <c r="H31" t="s">
        <v>325</v>
      </c>
      <c r="I31" s="415">
        <v>45608</v>
      </c>
      <c r="J31">
        <v>48</v>
      </c>
      <c r="K31">
        <v>2134080</v>
      </c>
      <c r="L31">
        <v>2134080</v>
      </c>
      <c r="M31">
        <v>1000000</v>
      </c>
      <c r="N31" t="s">
        <v>298</v>
      </c>
      <c r="O31" s="415">
        <v>45322</v>
      </c>
      <c r="P31">
        <v>999000</v>
      </c>
      <c r="Q31">
        <v>1</v>
      </c>
      <c r="R31">
        <v>999000</v>
      </c>
      <c r="S31" t="s">
        <v>316</v>
      </c>
      <c r="T31" t="s">
        <v>317</v>
      </c>
      <c r="U31" t="s">
        <v>318</v>
      </c>
    </row>
    <row r="32" spans="1:21">
      <c r="A32" t="s">
        <v>113</v>
      </c>
      <c r="B32" t="s">
        <v>36</v>
      </c>
      <c r="C32" t="s">
        <v>158</v>
      </c>
      <c r="D32">
        <v>130040670023900</v>
      </c>
      <c r="E32" t="s">
        <v>0</v>
      </c>
      <c r="F32">
        <v>2024</v>
      </c>
      <c r="G32">
        <v>1</v>
      </c>
      <c r="H32" t="s">
        <v>325</v>
      </c>
      <c r="I32" s="415">
        <v>45608</v>
      </c>
      <c r="J32">
        <v>48</v>
      </c>
      <c r="K32">
        <v>1969920</v>
      </c>
      <c r="L32">
        <v>1969920</v>
      </c>
      <c r="M32">
        <v>1000000</v>
      </c>
      <c r="N32" t="s">
        <v>298</v>
      </c>
      <c r="O32" s="415">
        <v>45322</v>
      </c>
      <c r="P32">
        <v>999000</v>
      </c>
      <c r="Q32">
        <v>1</v>
      </c>
      <c r="R32">
        <v>999000</v>
      </c>
      <c r="S32" t="s">
        <v>316</v>
      </c>
      <c r="T32" t="s">
        <v>317</v>
      </c>
      <c r="U32" t="s">
        <v>318</v>
      </c>
    </row>
    <row r="33" spans="1:21">
      <c r="A33" t="s">
        <v>113</v>
      </c>
      <c r="B33" t="s">
        <v>36</v>
      </c>
      <c r="C33" t="s">
        <v>187</v>
      </c>
      <c r="D33">
        <v>130040670039442</v>
      </c>
      <c r="E33" t="s">
        <v>0</v>
      </c>
      <c r="F33">
        <v>2024</v>
      </c>
      <c r="G33">
        <v>1</v>
      </c>
      <c r="H33" t="s">
        <v>325</v>
      </c>
      <c r="I33" s="415">
        <v>45608</v>
      </c>
      <c r="J33">
        <v>48</v>
      </c>
      <c r="K33">
        <v>2515968</v>
      </c>
      <c r="L33">
        <v>5031936</v>
      </c>
      <c r="M33">
        <v>1000000</v>
      </c>
      <c r="N33" t="s">
        <v>298</v>
      </c>
      <c r="O33" s="415">
        <v>45322</v>
      </c>
      <c r="P33">
        <v>510000</v>
      </c>
      <c r="Q33">
        <v>2</v>
      </c>
      <c r="R33">
        <v>1020000</v>
      </c>
      <c r="S33" t="s">
        <v>316</v>
      </c>
      <c r="T33" t="s">
        <v>317</v>
      </c>
      <c r="U33" t="s">
        <v>318</v>
      </c>
    </row>
    <row r="34" spans="1:21">
      <c r="A34" t="s">
        <v>113</v>
      </c>
      <c r="B34" t="s">
        <v>36</v>
      </c>
      <c r="C34" t="s">
        <v>182</v>
      </c>
      <c r="D34">
        <v>130040670039455</v>
      </c>
      <c r="E34" t="s">
        <v>0</v>
      </c>
      <c r="F34">
        <v>2024</v>
      </c>
      <c r="G34">
        <v>1</v>
      </c>
      <c r="H34" t="s">
        <v>325</v>
      </c>
      <c r="I34" s="415">
        <v>45608</v>
      </c>
      <c r="J34">
        <v>48</v>
      </c>
      <c r="K34">
        <v>2515968</v>
      </c>
      <c r="L34">
        <v>5031936</v>
      </c>
      <c r="M34">
        <v>1000000</v>
      </c>
      <c r="N34" t="s">
        <v>298</v>
      </c>
      <c r="O34" s="415">
        <v>45322</v>
      </c>
      <c r="P34">
        <v>510000</v>
      </c>
      <c r="Q34">
        <v>2</v>
      </c>
      <c r="R34">
        <v>1020000</v>
      </c>
      <c r="S34" t="s">
        <v>316</v>
      </c>
      <c r="T34" t="s">
        <v>317</v>
      </c>
      <c r="U34" t="s">
        <v>318</v>
      </c>
    </row>
    <row r="35" spans="1:21">
      <c r="A35" t="s">
        <v>106</v>
      </c>
      <c r="B35" t="s">
        <v>36</v>
      </c>
      <c r="C35" t="s">
        <v>160</v>
      </c>
      <c r="D35">
        <v>130040670018930</v>
      </c>
      <c r="E35" t="s">
        <v>0</v>
      </c>
      <c r="F35">
        <v>2024</v>
      </c>
      <c r="G35">
        <v>1</v>
      </c>
      <c r="H35" t="s">
        <v>325</v>
      </c>
      <c r="I35" s="415">
        <v>45608</v>
      </c>
      <c r="J35">
        <v>48</v>
      </c>
      <c r="K35">
        <v>2490280</v>
      </c>
      <c r="L35">
        <v>4980560</v>
      </c>
      <c r="M35">
        <v>1000000</v>
      </c>
      <c r="N35" t="s">
        <v>298</v>
      </c>
      <c r="O35" s="415">
        <v>45322</v>
      </c>
      <c r="P35">
        <v>514000</v>
      </c>
      <c r="Q35">
        <v>2</v>
      </c>
      <c r="R35">
        <v>1028000</v>
      </c>
      <c r="S35" t="s">
        <v>316</v>
      </c>
      <c r="T35" t="s">
        <v>317</v>
      </c>
      <c r="U35" t="s">
        <v>318</v>
      </c>
    </row>
    <row r="36" spans="1:21">
      <c r="A36" t="s">
        <v>130</v>
      </c>
      <c r="B36" t="s">
        <v>36</v>
      </c>
      <c r="C36" t="s">
        <v>152</v>
      </c>
      <c r="D36">
        <v>130040670023440</v>
      </c>
      <c r="E36" t="s">
        <v>0</v>
      </c>
      <c r="F36">
        <v>2024</v>
      </c>
      <c r="G36">
        <v>1</v>
      </c>
      <c r="H36" t="s">
        <v>325</v>
      </c>
      <c r="I36" s="415">
        <v>45608</v>
      </c>
      <c r="J36">
        <v>48</v>
      </c>
      <c r="K36">
        <v>2029684.8</v>
      </c>
      <c r="L36">
        <v>2029684.8</v>
      </c>
      <c r="M36">
        <v>1000000</v>
      </c>
      <c r="N36" t="s">
        <v>298</v>
      </c>
      <c r="O36" s="415">
        <v>45322</v>
      </c>
      <c r="P36">
        <v>1100000</v>
      </c>
      <c r="Q36">
        <v>1</v>
      </c>
      <c r="R36">
        <v>1100000</v>
      </c>
      <c r="S36" t="s">
        <v>316</v>
      </c>
      <c r="T36" t="s">
        <v>317</v>
      </c>
      <c r="U36" t="s">
        <v>318</v>
      </c>
    </row>
    <row r="37" spans="1:21">
      <c r="A37" t="s">
        <v>113</v>
      </c>
      <c r="B37" t="s">
        <v>36</v>
      </c>
      <c r="C37" t="s">
        <v>152</v>
      </c>
      <c r="D37">
        <v>130040670023899</v>
      </c>
      <c r="E37" t="s">
        <v>0</v>
      </c>
      <c r="F37">
        <v>2024</v>
      </c>
      <c r="G37">
        <v>1</v>
      </c>
      <c r="H37" t="s">
        <v>325</v>
      </c>
      <c r="I37" s="415">
        <v>45608</v>
      </c>
      <c r="J37">
        <v>48</v>
      </c>
      <c r="K37">
        <v>2008545.6</v>
      </c>
      <c r="L37">
        <v>2008545.6</v>
      </c>
      <c r="M37">
        <v>1000000</v>
      </c>
      <c r="N37" t="s">
        <v>298</v>
      </c>
      <c r="O37" s="415">
        <v>45322</v>
      </c>
      <c r="P37">
        <v>1100000</v>
      </c>
      <c r="Q37">
        <v>1</v>
      </c>
      <c r="R37">
        <v>1100000</v>
      </c>
      <c r="S37" t="s">
        <v>316</v>
      </c>
      <c r="T37" t="s">
        <v>317</v>
      </c>
      <c r="U37" t="s">
        <v>318</v>
      </c>
    </row>
    <row r="38" spans="1:21">
      <c r="A38" t="s">
        <v>124</v>
      </c>
      <c r="B38" t="s">
        <v>36</v>
      </c>
      <c r="C38" t="s">
        <v>180</v>
      </c>
      <c r="D38">
        <v>130040670021244</v>
      </c>
      <c r="E38" t="s">
        <v>0</v>
      </c>
      <c r="F38">
        <v>2024</v>
      </c>
      <c r="G38">
        <v>1</v>
      </c>
      <c r="H38" t="s">
        <v>325</v>
      </c>
      <c r="I38" s="415">
        <v>45608</v>
      </c>
      <c r="J38">
        <v>48</v>
      </c>
      <c r="K38">
        <v>2324275.2000000002</v>
      </c>
      <c r="L38">
        <v>4648550.4000000004</v>
      </c>
      <c r="M38">
        <v>1000000</v>
      </c>
      <c r="N38" t="s">
        <v>298</v>
      </c>
      <c r="O38" s="415">
        <v>45322</v>
      </c>
      <c r="P38">
        <v>630000</v>
      </c>
      <c r="Q38">
        <v>2</v>
      </c>
      <c r="R38">
        <v>1260000</v>
      </c>
      <c r="S38" t="s">
        <v>316</v>
      </c>
      <c r="T38" t="s">
        <v>317</v>
      </c>
      <c r="U38" t="s">
        <v>318</v>
      </c>
    </row>
    <row r="39" spans="1:21">
      <c r="A39" t="s">
        <v>124</v>
      </c>
      <c r="B39" t="s">
        <v>36</v>
      </c>
      <c r="C39" t="s">
        <v>162</v>
      </c>
      <c r="D39">
        <v>130040670021246</v>
      </c>
      <c r="E39" t="s">
        <v>0</v>
      </c>
      <c r="F39">
        <v>2024</v>
      </c>
      <c r="G39">
        <v>1</v>
      </c>
      <c r="H39" t="s">
        <v>325</v>
      </c>
      <c r="I39" s="415">
        <v>45608</v>
      </c>
      <c r="J39">
        <v>48</v>
      </c>
      <c r="K39">
        <v>2737152</v>
      </c>
      <c r="L39">
        <v>8211456</v>
      </c>
      <c r="M39">
        <v>1000000</v>
      </c>
      <c r="N39" t="s">
        <v>298</v>
      </c>
      <c r="O39" s="415">
        <v>45322</v>
      </c>
      <c r="P39">
        <v>450000</v>
      </c>
      <c r="Q39">
        <v>3</v>
      </c>
      <c r="R39">
        <v>1350000</v>
      </c>
      <c r="S39" t="s">
        <v>316</v>
      </c>
      <c r="T39" t="s">
        <v>317</v>
      </c>
      <c r="U39" t="s">
        <v>318</v>
      </c>
    </row>
    <row r="40" spans="1:21">
      <c r="A40" t="s">
        <v>106</v>
      </c>
      <c r="B40" t="s">
        <v>36</v>
      </c>
      <c r="C40" t="s">
        <v>195</v>
      </c>
      <c r="D40">
        <v>130040670027765</v>
      </c>
      <c r="E40" t="s">
        <v>0</v>
      </c>
      <c r="F40">
        <v>2024</v>
      </c>
      <c r="G40">
        <v>1</v>
      </c>
      <c r="H40" t="s">
        <v>325</v>
      </c>
      <c r="I40" s="415">
        <v>45608</v>
      </c>
      <c r="J40">
        <v>48</v>
      </c>
      <c r="K40">
        <v>2574566</v>
      </c>
      <c r="L40">
        <v>10298264</v>
      </c>
      <c r="M40">
        <v>1000000</v>
      </c>
      <c r="N40" t="s">
        <v>298</v>
      </c>
      <c r="O40" s="415">
        <v>45322</v>
      </c>
      <c r="P40">
        <v>380000</v>
      </c>
      <c r="Q40">
        <v>4</v>
      </c>
      <c r="R40">
        <v>1520000</v>
      </c>
      <c r="S40" t="s">
        <v>316</v>
      </c>
      <c r="T40" t="s">
        <v>317</v>
      </c>
      <c r="U40" t="s">
        <v>318</v>
      </c>
    </row>
    <row r="41" spans="1:21">
      <c r="A41" t="s">
        <v>124</v>
      </c>
      <c r="B41" t="s">
        <v>36</v>
      </c>
      <c r="C41" t="s">
        <v>160</v>
      </c>
      <c r="D41">
        <v>130040670026558</v>
      </c>
      <c r="E41" t="s">
        <v>0</v>
      </c>
      <c r="F41">
        <v>2024</v>
      </c>
      <c r="G41">
        <v>1</v>
      </c>
      <c r="H41" t="s">
        <v>325</v>
      </c>
      <c r="I41" s="415">
        <v>45608</v>
      </c>
      <c r="J41">
        <v>48</v>
      </c>
      <c r="K41">
        <v>2635776</v>
      </c>
      <c r="L41">
        <v>7907328</v>
      </c>
      <c r="M41">
        <v>1000000</v>
      </c>
      <c r="N41" t="s">
        <v>298</v>
      </c>
      <c r="O41" s="415">
        <v>45322</v>
      </c>
      <c r="P41">
        <v>510000</v>
      </c>
      <c r="Q41">
        <v>3</v>
      </c>
      <c r="R41">
        <v>1530000</v>
      </c>
      <c r="S41" t="s">
        <v>316</v>
      </c>
      <c r="T41" t="s">
        <v>317</v>
      </c>
      <c r="U41" t="s">
        <v>318</v>
      </c>
    </row>
    <row r="42" spans="1:21">
      <c r="A42" t="s">
        <v>86</v>
      </c>
      <c r="B42" t="s">
        <v>36</v>
      </c>
      <c r="C42" t="s">
        <v>212</v>
      </c>
      <c r="D42" t="s">
        <v>128</v>
      </c>
      <c r="E42" t="s">
        <v>0</v>
      </c>
      <c r="F42">
        <v>2023</v>
      </c>
      <c r="G42">
        <v>1</v>
      </c>
      <c r="H42" t="s">
        <v>325</v>
      </c>
      <c r="I42" s="415">
        <v>45608</v>
      </c>
      <c r="J42">
        <v>48</v>
      </c>
      <c r="K42">
        <v>3431215</v>
      </c>
      <c r="L42">
        <v>10293645</v>
      </c>
      <c r="M42">
        <v>1000000</v>
      </c>
      <c r="N42" t="s">
        <v>298</v>
      </c>
      <c r="O42" s="415">
        <v>45007</v>
      </c>
      <c r="P42">
        <v>550000</v>
      </c>
      <c r="Q42">
        <v>3</v>
      </c>
      <c r="R42">
        <v>1650000</v>
      </c>
      <c r="S42" t="s">
        <v>404</v>
      </c>
      <c r="T42" t="s">
        <v>317</v>
      </c>
      <c r="U42" t="s">
        <v>318</v>
      </c>
    </row>
    <row r="43" spans="1:21">
      <c r="A43" t="s">
        <v>106</v>
      </c>
      <c r="B43" t="s">
        <v>36</v>
      </c>
      <c r="C43" t="s">
        <v>158</v>
      </c>
      <c r="D43">
        <v>130040670018919</v>
      </c>
      <c r="E43" t="s">
        <v>0</v>
      </c>
      <c r="F43">
        <v>2024</v>
      </c>
      <c r="G43">
        <v>1</v>
      </c>
      <c r="H43" t="s">
        <v>325</v>
      </c>
      <c r="I43" s="415">
        <v>45608</v>
      </c>
      <c r="J43">
        <v>48</v>
      </c>
      <c r="K43">
        <v>1969920</v>
      </c>
      <c r="L43">
        <v>3939840</v>
      </c>
      <c r="M43">
        <v>1000000</v>
      </c>
      <c r="N43" t="s">
        <v>298</v>
      </c>
      <c r="O43" s="415">
        <v>45322</v>
      </c>
      <c r="P43">
        <v>850000</v>
      </c>
      <c r="Q43">
        <v>2</v>
      </c>
      <c r="R43">
        <v>1700000</v>
      </c>
      <c r="S43" t="s">
        <v>316</v>
      </c>
      <c r="T43" t="s">
        <v>317</v>
      </c>
      <c r="U43" t="s">
        <v>318</v>
      </c>
    </row>
    <row r="44" spans="1:21">
      <c r="A44" t="s">
        <v>130</v>
      </c>
      <c r="B44" t="s">
        <v>36</v>
      </c>
      <c r="C44" t="s">
        <v>147</v>
      </c>
      <c r="D44">
        <v>130040670023444</v>
      </c>
      <c r="E44" t="s">
        <v>0</v>
      </c>
      <c r="F44">
        <v>2024</v>
      </c>
      <c r="G44">
        <v>1</v>
      </c>
      <c r="H44" t="s">
        <v>325</v>
      </c>
      <c r="I44" s="415">
        <v>45608</v>
      </c>
      <c r="J44">
        <v>24</v>
      </c>
      <c r="K44">
        <v>922833.60000000009</v>
      </c>
      <c r="L44">
        <v>1845667.2000000002</v>
      </c>
      <c r="M44">
        <v>1000000</v>
      </c>
      <c r="N44" t="s">
        <v>298</v>
      </c>
      <c r="O44" s="415">
        <v>45322</v>
      </c>
      <c r="P44">
        <v>990000</v>
      </c>
      <c r="Q44">
        <v>2</v>
      </c>
      <c r="R44">
        <v>1980000</v>
      </c>
      <c r="S44" t="s">
        <v>316</v>
      </c>
      <c r="T44" t="s">
        <v>317</v>
      </c>
      <c r="U44" t="s">
        <v>318</v>
      </c>
    </row>
    <row r="45" spans="1:21">
      <c r="A45" t="s">
        <v>86</v>
      </c>
      <c r="B45" t="s">
        <v>36</v>
      </c>
      <c r="C45" t="s">
        <v>205</v>
      </c>
      <c r="D45">
        <v>310493192000</v>
      </c>
      <c r="E45" t="s">
        <v>0</v>
      </c>
      <c r="F45">
        <v>2023</v>
      </c>
      <c r="G45">
        <v>1</v>
      </c>
      <c r="H45" t="s">
        <v>325</v>
      </c>
      <c r="I45" s="415">
        <v>45608</v>
      </c>
      <c r="J45">
        <v>48</v>
      </c>
      <c r="K45">
        <v>2134978</v>
      </c>
      <c r="L45">
        <v>10674890</v>
      </c>
      <c r="M45">
        <v>1000000</v>
      </c>
      <c r="N45" t="s">
        <v>298</v>
      </c>
      <c r="O45" s="415">
        <v>45007</v>
      </c>
      <c r="P45">
        <v>502800</v>
      </c>
      <c r="Q45">
        <v>5</v>
      </c>
      <c r="R45">
        <v>2514000</v>
      </c>
      <c r="S45" t="s">
        <v>404</v>
      </c>
      <c r="T45" t="s">
        <v>317</v>
      </c>
      <c r="U45" t="s">
        <v>318</v>
      </c>
    </row>
    <row r="46" spans="1:21">
      <c r="A46" t="s">
        <v>86</v>
      </c>
      <c r="B46" t="s">
        <v>36</v>
      </c>
      <c r="C46" t="s">
        <v>207</v>
      </c>
      <c r="D46">
        <v>310493193000</v>
      </c>
      <c r="E46" t="s">
        <v>0</v>
      </c>
      <c r="F46">
        <v>2023</v>
      </c>
      <c r="G46">
        <v>1</v>
      </c>
      <c r="H46" t="s">
        <v>325</v>
      </c>
      <c r="I46" s="415">
        <v>45608</v>
      </c>
      <c r="J46">
        <v>48</v>
      </c>
      <c r="K46">
        <v>1779148</v>
      </c>
      <c r="L46">
        <v>8895740</v>
      </c>
      <c r="M46">
        <v>1000000</v>
      </c>
      <c r="N46" t="s">
        <v>298</v>
      </c>
      <c r="O46" s="415">
        <v>45007</v>
      </c>
      <c r="P46">
        <v>593600</v>
      </c>
      <c r="Q46">
        <v>5</v>
      </c>
      <c r="R46">
        <v>2968000</v>
      </c>
      <c r="S46" t="s">
        <v>404</v>
      </c>
      <c r="T46" t="s">
        <v>317</v>
      </c>
      <c r="U46" t="s">
        <v>318</v>
      </c>
    </row>
    <row r="47" spans="1:21">
      <c r="A47" t="s">
        <v>124</v>
      </c>
      <c r="B47" t="s">
        <v>36</v>
      </c>
      <c r="C47" t="s">
        <v>147</v>
      </c>
      <c r="D47">
        <v>130040670021245</v>
      </c>
      <c r="E47" t="s">
        <v>0</v>
      </c>
      <c r="F47">
        <v>2024</v>
      </c>
      <c r="G47">
        <v>1</v>
      </c>
      <c r="H47" t="s">
        <v>325</v>
      </c>
      <c r="I47" s="415">
        <v>45608</v>
      </c>
      <c r="J47">
        <v>32</v>
      </c>
      <c r="K47">
        <v>1517568</v>
      </c>
      <c r="L47">
        <v>7587840</v>
      </c>
      <c r="M47">
        <v>1000000</v>
      </c>
      <c r="N47" t="s">
        <v>298</v>
      </c>
      <c r="O47" s="415">
        <v>45322</v>
      </c>
      <c r="P47">
        <v>630000</v>
      </c>
      <c r="Q47">
        <v>5</v>
      </c>
      <c r="R47">
        <v>3150000</v>
      </c>
      <c r="S47" t="s">
        <v>316</v>
      </c>
      <c r="T47" t="s">
        <v>317</v>
      </c>
      <c r="U47" t="s">
        <v>318</v>
      </c>
    </row>
    <row r="48" spans="1:21">
      <c r="A48" t="s">
        <v>86</v>
      </c>
      <c r="B48" t="s">
        <v>36</v>
      </c>
      <c r="C48" t="s">
        <v>209</v>
      </c>
      <c r="D48">
        <v>310493194000</v>
      </c>
      <c r="E48" t="s">
        <v>0</v>
      </c>
      <c r="F48">
        <v>2023</v>
      </c>
      <c r="G48">
        <v>1</v>
      </c>
      <c r="H48" t="s">
        <v>325</v>
      </c>
      <c r="I48" s="415">
        <v>45608</v>
      </c>
      <c r="J48">
        <v>48</v>
      </c>
      <c r="K48">
        <v>2052864</v>
      </c>
      <c r="L48">
        <v>10264320</v>
      </c>
      <c r="M48">
        <v>1000000</v>
      </c>
      <c r="N48" t="s">
        <v>298</v>
      </c>
      <c r="O48" s="415">
        <v>45007</v>
      </c>
      <c r="P48">
        <v>680000</v>
      </c>
      <c r="Q48">
        <v>5</v>
      </c>
      <c r="R48">
        <v>3400000</v>
      </c>
      <c r="S48" t="s">
        <v>404</v>
      </c>
      <c r="T48" t="s">
        <v>317</v>
      </c>
      <c r="U48" t="s">
        <v>318</v>
      </c>
    </row>
    <row r="49" spans="1:21">
      <c r="A49" t="s">
        <v>106</v>
      </c>
      <c r="B49" t="s">
        <v>36</v>
      </c>
      <c r="C49" t="s">
        <v>147</v>
      </c>
      <c r="D49">
        <v>130040670018928</v>
      </c>
      <c r="E49" t="s">
        <v>0</v>
      </c>
      <c r="F49">
        <v>2024</v>
      </c>
      <c r="G49">
        <v>1</v>
      </c>
      <c r="H49" t="s">
        <v>325</v>
      </c>
      <c r="I49" s="415">
        <v>45608</v>
      </c>
      <c r="J49">
        <v>24</v>
      </c>
      <c r="K49">
        <v>1067040</v>
      </c>
      <c r="L49">
        <v>5335200</v>
      </c>
      <c r="M49">
        <v>1000000</v>
      </c>
      <c r="N49" t="s">
        <v>298</v>
      </c>
      <c r="O49" s="415">
        <v>45322</v>
      </c>
      <c r="P49">
        <v>840000</v>
      </c>
      <c r="Q49">
        <v>5</v>
      </c>
      <c r="R49">
        <v>4200000</v>
      </c>
      <c r="S49" t="s">
        <v>316</v>
      </c>
      <c r="T49" t="s">
        <v>317</v>
      </c>
      <c r="U49" t="s">
        <v>318</v>
      </c>
    </row>
    <row r="50" spans="1:21">
      <c r="A50" t="s">
        <v>18</v>
      </c>
      <c r="B50" t="s">
        <v>34</v>
      </c>
      <c r="C50" t="s">
        <v>215</v>
      </c>
      <c r="D50">
        <v>130040670020898</v>
      </c>
      <c r="E50" t="s">
        <v>0</v>
      </c>
      <c r="F50">
        <v>2024</v>
      </c>
      <c r="G50">
        <v>2</v>
      </c>
      <c r="H50" t="s">
        <v>325</v>
      </c>
      <c r="I50" s="415">
        <v>45608</v>
      </c>
      <c r="J50">
        <v>48</v>
      </c>
      <c r="K50">
        <v>2965248</v>
      </c>
      <c r="L50">
        <v>14826240</v>
      </c>
      <c r="M50">
        <v>1000000</v>
      </c>
      <c r="N50" t="s">
        <v>298</v>
      </c>
      <c r="O50" s="415">
        <v>45352</v>
      </c>
      <c r="P50">
        <v>1159839.3999999999</v>
      </c>
      <c r="Q50">
        <v>5</v>
      </c>
      <c r="R50">
        <v>5799197</v>
      </c>
      <c r="S50" t="s">
        <v>316</v>
      </c>
      <c r="T50" t="s">
        <v>317</v>
      </c>
      <c r="U50" t="s">
        <v>318</v>
      </c>
    </row>
    <row r="51" spans="1:21">
      <c r="A51" t="s">
        <v>18</v>
      </c>
      <c r="B51" t="s">
        <v>34</v>
      </c>
      <c r="C51" t="s">
        <v>162</v>
      </c>
      <c r="D51">
        <v>130040670020899</v>
      </c>
      <c r="E51" t="s">
        <v>0</v>
      </c>
      <c r="F51">
        <v>2024</v>
      </c>
      <c r="G51">
        <v>2</v>
      </c>
      <c r="H51" t="s">
        <v>325</v>
      </c>
      <c r="I51" s="415">
        <v>45608</v>
      </c>
      <c r="J51">
        <v>48</v>
      </c>
      <c r="K51">
        <v>2965248</v>
      </c>
      <c r="L51">
        <v>14826240</v>
      </c>
      <c r="M51">
        <v>1000000</v>
      </c>
      <c r="N51" t="s">
        <v>298</v>
      </c>
      <c r="O51" s="415">
        <v>45352</v>
      </c>
      <c r="P51">
        <v>1178696.8</v>
      </c>
      <c r="Q51">
        <v>5</v>
      </c>
      <c r="R51">
        <v>5893484</v>
      </c>
      <c r="S51" t="s">
        <v>316</v>
      </c>
      <c r="T51" t="s">
        <v>317</v>
      </c>
      <c r="U51" t="s">
        <v>318</v>
      </c>
    </row>
    <row r="52" spans="1:21">
      <c r="A52" t="s">
        <v>86</v>
      </c>
      <c r="B52" t="s">
        <v>36</v>
      </c>
      <c r="C52" t="s">
        <v>201</v>
      </c>
      <c r="D52">
        <v>310493191000</v>
      </c>
      <c r="E52" t="s">
        <v>0</v>
      </c>
      <c r="F52">
        <v>2023</v>
      </c>
      <c r="G52">
        <v>1</v>
      </c>
      <c r="H52" t="s">
        <v>325</v>
      </c>
      <c r="I52" s="415">
        <v>45608</v>
      </c>
      <c r="J52">
        <v>32</v>
      </c>
      <c r="K52">
        <v>1524984</v>
      </c>
      <c r="L52">
        <v>9149904</v>
      </c>
      <c r="M52">
        <v>1000000</v>
      </c>
      <c r="N52" t="s">
        <v>298</v>
      </c>
      <c r="O52" s="415">
        <v>45007</v>
      </c>
      <c r="P52">
        <v>995000</v>
      </c>
      <c r="Q52">
        <v>6</v>
      </c>
      <c r="R52">
        <v>5970000</v>
      </c>
      <c r="S52" t="s">
        <v>404</v>
      </c>
      <c r="T52" t="s">
        <v>317</v>
      </c>
      <c r="U52" t="s">
        <v>318</v>
      </c>
    </row>
    <row r="53" spans="1:21">
      <c r="A53" t="s">
        <v>18</v>
      </c>
      <c r="B53" t="s">
        <v>34</v>
      </c>
      <c r="C53" t="s">
        <v>147</v>
      </c>
      <c r="D53">
        <v>130040670029868</v>
      </c>
      <c r="E53" t="s">
        <v>0</v>
      </c>
      <c r="F53">
        <v>2024</v>
      </c>
      <c r="G53">
        <v>2</v>
      </c>
      <c r="H53" t="s">
        <v>325</v>
      </c>
      <c r="I53" s="415">
        <v>45608</v>
      </c>
      <c r="J53">
        <v>32</v>
      </c>
      <c r="K53">
        <v>1797120</v>
      </c>
      <c r="L53">
        <v>14376960</v>
      </c>
      <c r="M53">
        <v>1000000</v>
      </c>
      <c r="N53" t="s">
        <v>298</v>
      </c>
      <c r="O53" s="415">
        <v>45352</v>
      </c>
      <c r="P53">
        <v>1114150.875</v>
      </c>
      <c r="Q53">
        <v>8</v>
      </c>
      <c r="R53">
        <v>8913207</v>
      </c>
      <c r="S53" t="s">
        <v>316</v>
      </c>
      <c r="T53" t="s">
        <v>317</v>
      </c>
      <c r="U53" t="s">
        <v>318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E40" sqref="E40"/>
    </sheetView>
  </sheetViews>
  <sheetFormatPr defaultRowHeight="14.25"/>
  <cols>
    <col min="1" max="1" width="19.625" bestFit="1" customWidth="1"/>
    <col min="2" max="2" width="15.375" bestFit="1" customWidth="1"/>
    <col min="3" max="5" width="13.375" bestFit="1" customWidth="1"/>
    <col min="6" max="6" width="14.375" bestFit="1" customWidth="1"/>
  </cols>
  <sheetData>
    <row r="3" spans="1:6">
      <c r="B3" s="296" t="s">
        <v>413</v>
      </c>
    </row>
    <row r="4" spans="1:6">
      <c r="B4" s="220" t="s">
        <v>298</v>
      </c>
      <c r="C4" s="220" t="s">
        <v>299</v>
      </c>
      <c r="D4" s="220" t="s">
        <v>296</v>
      </c>
      <c r="E4" s="220" t="s">
        <v>297</v>
      </c>
      <c r="F4" s="220" t="s">
        <v>414</v>
      </c>
    </row>
    <row r="5" spans="1:6">
      <c r="A5" t="s">
        <v>415</v>
      </c>
      <c r="B5" s="220">
        <v>73497538</v>
      </c>
      <c r="C5" s="220">
        <v>2068248.3672566374</v>
      </c>
      <c r="D5" s="220">
        <v>6254646.1061946899</v>
      </c>
      <c r="E5" s="220">
        <v>1254457.8932743361</v>
      </c>
      <c r="F5" s="220">
        <v>83074890.366725668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zoomScale="110" zoomScaleNormal="110" workbookViewId="0">
      <selection activeCell="M24" sqref="M24"/>
    </sheetView>
  </sheetViews>
  <sheetFormatPr defaultRowHeight="14.25"/>
  <cols>
    <col min="1" max="1" width="12.375" bestFit="1" customWidth="1"/>
    <col min="2" max="2" width="19.625" style="183" bestFit="1" customWidth="1"/>
    <col min="4" max="4" width="12.375" customWidth="1"/>
    <col min="5" max="5" width="21.75" customWidth="1"/>
  </cols>
  <sheetData>
    <row r="2" spans="1:5">
      <c r="B2" s="298" t="s">
        <v>416</v>
      </c>
      <c r="E2" s="298" t="s">
        <v>417</v>
      </c>
    </row>
    <row r="3" spans="1:5">
      <c r="A3" s="296" t="s">
        <v>418</v>
      </c>
      <c r="B3" s="183" t="s">
        <v>415</v>
      </c>
      <c r="D3" s="296" t="s">
        <v>295</v>
      </c>
      <c r="E3" s="183" t="s">
        <v>415</v>
      </c>
    </row>
    <row r="4" spans="1:5">
      <c r="A4" s="297" t="s">
        <v>298</v>
      </c>
      <c r="B4" s="183">
        <v>29771000</v>
      </c>
      <c r="D4" s="297" t="s">
        <v>298</v>
      </c>
      <c r="E4" s="183">
        <v>29771000</v>
      </c>
    </row>
    <row r="5" spans="1:5">
      <c r="A5" s="297" t="s">
        <v>299</v>
      </c>
      <c r="B5" s="183">
        <v>1318645.5221238942</v>
      </c>
      <c r="D5" s="297" t="s">
        <v>299</v>
      </c>
      <c r="E5" s="183">
        <v>1327088.0000000005</v>
      </c>
    </row>
    <row r="6" spans="1:5">
      <c r="A6" s="297" t="s">
        <v>296</v>
      </c>
      <c r="B6" s="183">
        <v>1991000</v>
      </c>
      <c r="D6" s="297" t="s">
        <v>296</v>
      </c>
      <c r="E6" s="183">
        <v>2303000</v>
      </c>
    </row>
    <row r="7" spans="1:5">
      <c r="A7" s="297" t="s">
        <v>297</v>
      </c>
      <c r="B7" s="183">
        <v>562748.92920353962</v>
      </c>
      <c r="D7" s="297" t="s">
        <v>297</v>
      </c>
      <c r="E7" s="183">
        <v>533510.23008849542</v>
      </c>
    </row>
    <row r="8" spans="1:5">
      <c r="A8" s="297" t="s">
        <v>414</v>
      </c>
      <c r="B8" s="183">
        <v>33643394.451327436</v>
      </c>
      <c r="D8" s="297" t="s">
        <v>414</v>
      </c>
      <c r="E8" s="183">
        <v>33934598.230088495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7"/>
  <sheetViews>
    <sheetView workbookViewId="0">
      <selection sqref="A1:U137"/>
    </sheetView>
  </sheetViews>
  <sheetFormatPr defaultRowHeight="14.25"/>
  <cols>
    <col min="1" max="1" width="18.125" customWidth="1"/>
    <col min="4" max="4" width="19.25" customWidth="1"/>
  </cols>
  <sheetData>
    <row r="1" spans="1:21">
      <c r="A1" s="4" t="s">
        <v>2</v>
      </c>
      <c r="B1" s="230" t="s">
        <v>42</v>
      </c>
      <c r="C1" s="4" t="s">
        <v>43</v>
      </c>
      <c r="D1" s="4" t="s">
        <v>44</v>
      </c>
      <c r="E1" s="4" t="s">
        <v>45</v>
      </c>
      <c r="F1" s="9" t="s">
        <v>48</v>
      </c>
      <c r="G1" s="9" t="s">
        <v>49</v>
      </c>
      <c r="H1" s="238" t="s">
        <v>50</v>
      </c>
      <c r="I1" s="227" t="s">
        <v>304</v>
      </c>
      <c r="J1" s="239" t="s">
        <v>305</v>
      </c>
      <c r="K1" s="239" t="s">
        <v>306</v>
      </c>
      <c r="L1" s="239" t="s">
        <v>307</v>
      </c>
      <c r="M1" s="9" t="s">
        <v>295</v>
      </c>
      <c r="N1" s="45" t="s">
        <v>308</v>
      </c>
      <c r="O1" s="5" t="s">
        <v>309</v>
      </c>
      <c r="P1" s="4" t="s">
        <v>310</v>
      </c>
      <c r="Q1" s="5" t="s">
        <v>311</v>
      </c>
      <c r="R1" s="5" t="s">
        <v>312</v>
      </c>
      <c r="S1" s="5" t="s">
        <v>313</v>
      </c>
      <c r="T1" s="5" t="s">
        <v>314</v>
      </c>
      <c r="U1" s="4" t="s">
        <v>419</v>
      </c>
    </row>
    <row r="2" spans="1:21" ht="25.5">
      <c r="A2" s="272" t="s">
        <v>113</v>
      </c>
      <c r="B2" s="22" t="s">
        <v>36</v>
      </c>
      <c r="C2" s="32" t="s">
        <v>114</v>
      </c>
      <c r="D2" s="44">
        <v>130040670023899</v>
      </c>
      <c r="E2" s="22" t="s">
        <v>74</v>
      </c>
      <c r="F2" s="22">
        <v>2024</v>
      </c>
      <c r="G2" s="22" t="s">
        <v>279</v>
      </c>
      <c r="H2" s="258" t="s">
        <v>420</v>
      </c>
      <c r="I2" s="262">
        <v>2</v>
      </c>
      <c r="J2" s="259"/>
      <c r="K2" s="259">
        <v>0</v>
      </c>
      <c r="L2" s="259" t="s">
        <v>421</v>
      </c>
      <c r="M2" s="22" t="s">
        <v>297</v>
      </c>
      <c r="N2" s="258">
        <v>45294</v>
      </c>
      <c r="O2" s="290">
        <v>16106</v>
      </c>
      <c r="P2" s="22">
        <v>1</v>
      </c>
      <c r="Q2" s="273">
        <v>16106</v>
      </c>
      <c r="R2" s="22" t="s">
        <v>316</v>
      </c>
      <c r="S2" s="22" t="s">
        <v>317</v>
      </c>
      <c r="T2" s="22" t="s">
        <v>318</v>
      </c>
      <c r="U2" s="22"/>
    </row>
    <row r="3" spans="1:21" ht="25.5">
      <c r="A3" s="272" t="s">
        <v>130</v>
      </c>
      <c r="B3" s="22" t="s">
        <v>36</v>
      </c>
      <c r="C3" s="32" t="s">
        <v>114</v>
      </c>
      <c r="D3" s="44">
        <v>130040670023440</v>
      </c>
      <c r="E3" s="22" t="s">
        <v>74</v>
      </c>
      <c r="F3" s="22">
        <v>2024</v>
      </c>
      <c r="G3" s="22" t="s">
        <v>279</v>
      </c>
      <c r="H3" s="258" t="s">
        <v>420</v>
      </c>
      <c r="I3" s="262">
        <v>2</v>
      </c>
      <c r="J3" s="259"/>
      <c r="K3" s="259">
        <v>0</v>
      </c>
      <c r="L3" s="259" t="s">
        <v>421</v>
      </c>
      <c r="M3" s="22" t="s">
        <v>297</v>
      </c>
      <c r="N3" s="258">
        <v>45294</v>
      </c>
      <c r="O3" s="290">
        <v>16106</v>
      </c>
      <c r="P3" s="22">
        <v>1</v>
      </c>
      <c r="Q3" s="273">
        <v>16106</v>
      </c>
      <c r="R3" s="22" t="s">
        <v>316</v>
      </c>
      <c r="S3" s="22" t="s">
        <v>317</v>
      </c>
      <c r="T3" s="22" t="s">
        <v>318</v>
      </c>
      <c r="U3" s="22"/>
    </row>
    <row r="4" spans="1:21" ht="25.5">
      <c r="A4" s="272" t="s">
        <v>106</v>
      </c>
      <c r="B4" s="22" t="s">
        <v>36</v>
      </c>
      <c r="C4" s="32" t="s">
        <v>100</v>
      </c>
      <c r="D4" s="44">
        <v>130040670018928</v>
      </c>
      <c r="E4" s="22" t="s">
        <v>74</v>
      </c>
      <c r="F4" s="22">
        <v>2024</v>
      </c>
      <c r="G4" s="22" t="s">
        <v>279</v>
      </c>
      <c r="H4" s="258" t="s">
        <v>420</v>
      </c>
      <c r="I4" s="262">
        <v>16</v>
      </c>
      <c r="J4" s="259">
        <v>1067040</v>
      </c>
      <c r="K4" s="259">
        <v>1067040</v>
      </c>
      <c r="L4" s="259" t="s">
        <v>422</v>
      </c>
      <c r="M4" s="22" t="s">
        <v>299</v>
      </c>
      <c r="N4" s="258">
        <v>45295</v>
      </c>
      <c r="O4" s="273">
        <v>8442.4778761062007</v>
      </c>
      <c r="P4" s="22">
        <v>1</v>
      </c>
      <c r="Q4" s="273">
        <v>8442.4778761062007</v>
      </c>
      <c r="R4" s="22" t="s">
        <v>316</v>
      </c>
      <c r="S4" s="22" t="s">
        <v>317</v>
      </c>
      <c r="T4" s="22" t="s">
        <v>318</v>
      </c>
      <c r="U4" s="22"/>
    </row>
    <row r="5" spans="1:21" ht="25.5">
      <c r="A5" s="272" t="s">
        <v>130</v>
      </c>
      <c r="B5" s="22" t="s">
        <v>36</v>
      </c>
      <c r="C5" s="32" t="s">
        <v>114</v>
      </c>
      <c r="D5" s="44">
        <v>130040670023440</v>
      </c>
      <c r="E5" s="22" t="s">
        <v>74</v>
      </c>
      <c r="F5" s="22">
        <v>2024</v>
      </c>
      <c r="G5" s="22" t="s">
        <v>279</v>
      </c>
      <c r="H5" s="258" t="s">
        <v>420</v>
      </c>
      <c r="I5" s="262">
        <v>2</v>
      </c>
      <c r="J5" s="259"/>
      <c r="K5" s="259">
        <v>0</v>
      </c>
      <c r="L5" s="259" t="s">
        <v>421</v>
      </c>
      <c r="M5" s="22" t="s">
        <v>297</v>
      </c>
      <c r="N5" s="258">
        <v>45298</v>
      </c>
      <c r="O5" s="290">
        <v>8053.09734513274</v>
      </c>
      <c r="P5" s="22">
        <v>1</v>
      </c>
      <c r="Q5" s="273">
        <v>8053.09734513274</v>
      </c>
      <c r="R5" s="22" t="s">
        <v>316</v>
      </c>
      <c r="S5" s="22" t="s">
        <v>317</v>
      </c>
      <c r="T5" s="22" t="s">
        <v>318</v>
      </c>
      <c r="U5" s="22"/>
    </row>
    <row r="6" spans="1:21" ht="25.5">
      <c r="A6" s="272" t="s">
        <v>130</v>
      </c>
      <c r="B6" s="22" t="s">
        <v>36</v>
      </c>
      <c r="C6" s="32" t="s">
        <v>100</v>
      </c>
      <c r="D6" s="44">
        <v>130040670023444</v>
      </c>
      <c r="E6" s="22" t="s">
        <v>74</v>
      </c>
      <c r="F6" s="22">
        <v>2024</v>
      </c>
      <c r="G6" s="22" t="s">
        <v>279</v>
      </c>
      <c r="H6" s="258" t="s">
        <v>420</v>
      </c>
      <c r="I6" s="262">
        <v>2</v>
      </c>
      <c r="J6" s="259"/>
      <c r="K6" s="259">
        <v>0</v>
      </c>
      <c r="L6" s="259" t="s">
        <v>421</v>
      </c>
      <c r="M6" s="22" t="s">
        <v>297</v>
      </c>
      <c r="N6" s="258">
        <v>45300</v>
      </c>
      <c r="O6" s="290">
        <v>3539.8230088495602</v>
      </c>
      <c r="P6" s="22">
        <v>1</v>
      </c>
      <c r="Q6" s="273">
        <v>3539.8230088495602</v>
      </c>
      <c r="R6" s="22" t="s">
        <v>316</v>
      </c>
      <c r="S6" s="22" t="s">
        <v>317</v>
      </c>
      <c r="T6" s="22" t="s">
        <v>318</v>
      </c>
      <c r="U6" s="22"/>
    </row>
    <row r="7" spans="1:21" ht="25.5">
      <c r="A7" s="272" t="s">
        <v>130</v>
      </c>
      <c r="B7" s="22" t="s">
        <v>36</v>
      </c>
      <c r="C7" s="32" t="s">
        <v>108</v>
      </c>
      <c r="D7" s="44">
        <v>130040670023448</v>
      </c>
      <c r="E7" s="22" t="s">
        <v>74</v>
      </c>
      <c r="F7" s="22">
        <v>2024</v>
      </c>
      <c r="G7" s="22" t="s">
        <v>279</v>
      </c>
      <c r="H7" s="258" t="s">
        <v>420</v>
      </c>
      <c r="I7" s="262">
        <v>2</v>
      </c>
      <c r="J7" s="259"/>
      <c r="K7" s="259">
        <v>0</v>
      </c>
      <c r="L7" s="259" t="s">
        <v>421</v>
      </c>
      <c r="M7" s="22" t="s">
        <v>297</v>
      </c>
      <c r="N7" s="258">
        <v>45308</v>
      </c>
      <c r="O7" s="290">
        <v>5752.2123893805301</v>
      </c>
      <c r="P7" s="22">
        <v>1</v>
      </c>
      <c r="Q7" s="273">
        <v>5752.2123893805301</v>
      </c>
      <c r="R7" s="22" t="s">
        <v>316</v>
      </c>
      <c r="S7" s="22" t="s">
        <v>317</v>
      </c>
      <c r="T7" s="22" t="s">
        <v>318</v>
      </c>
      <c r="U7" s="22"/>
    </row>
    <row r="8" spans="1:21" ht="25.5">
      <c r="A8" s="272" t="s">
        <v>130</v>
      </c>
      <c r="B8" s="22" t="s">
        <v>36</v>
      </c>
      <c r="C8" s="32" t="s">
        <v>111</v>
      </c>
      <c r="D8" s="44">
        <v>130040670023442</v>
      </c>
      <c r="E8" s="22" t="s">
        <v>74</v>
      </c>
      <c r="F8" s="22">
        <v>2024</v>
      </c>
      <c r="G8" s="22" t="s">
        <v>279</v>
      </c>
      <c r="H8" s="258" t="s">
        <v>420</v>
      </c>
      <c r="I8" s="262">
        <v>2</v>
      </c>
      <c r="J8" s="259"/>
      <c r="K8" s="259">
        <v>0</v>
      </c>
      <c r="L8" s="259" t="s">
        <v>421</v>
      </c>
      <c r="M8" s="22" t="s">
        <v>297</v>
      </c>
      <c r="N8" s="258">
        <v>45308</v>
      </c>
      <c r="O8" s="290">
        <v>2212.3893805309699</v>
      </c>
      <c r="P8" s="22">
        <v>1</v>
      </c>
      <c r="Q8" s="273">
        <v>2212.3893805309699</v>
      </c>
      <c r="R8" s="22" t="s">
        <v>316</v>
      </c>
      <c r="S8" s="22" t="s">
        <v>317</v>
      </c>
      <c r="T8" s="22" t="s">
        <v>318</v>
      </c>
      <c r="U8" s="22"/>
    </row>
    <row r="9" spans="1:21" ht="25.5">
      <c r="A9" s="272" t="s">
        <v>113</v>
      </c>
      <c r="B9" s="22" t="s">
        <v>36</v>
      </c>
      <c r="C9" s="32" t="s">
        <v>119</v>
      </c>
      <c r="D9" s="44">
        <v>130040670039455</v>
      </c>
      <c r="E9" s="22" t="s">
        <v>74</v>
      </c>
      <c r="F9" s="22">
        <v>2024</v>
      </c>
      <c r="G9" s="22" t="s">
        <v>279</v>
      </c>
      <c r="H9" s="258" t="s">
        <v>420</v>
      </c>
      <c r="I9" s="262">
        <v>2</v>
      </c>
      <c r="J9" s="259"/>
      <c r="K9" s="259">
        <v>0</v>
      </c>
      <c r="L9" s="259" t="s">
        <v>421</v>
      </c>
      <c r="M9" s="22" t="s">
        <v>297</v>
      </c>
      <c r="N9" s="258">
        <v>45313</v>
      </c>
      <c r="O9" s="290">
        <v>11061.9469026549</v>
      </c>
      <c r="P9" s="22">
        <v>1</v>
      </c>
      <c r="Q9" s="273">
        <v>11061.9469026549</v>
      </c>
      <c r="R9" s="22" t="s">
        <v>316</v>
      </c>
      <c r="S9" s="22" t="s">
        <v>317</v>
      </c>
      <c r="T9" s="22" t="s">
        <v>318</v>
      </c>
      <c r="U9" s="22"/>
    </row>
    <row r="10" spans="1:21" ht="25.5">
      <c r="A10" s="272" t="s">
        <v>113</v>
      </c>
      <c r="B10" s="22" t="s">
        <v>36</v>
      </c>
      <c r="C10" s="32" t="s">
        <v>111</v>
      </c>
      <c r="D10" s="44">
        <v>130040670023900</v>
      </c>
      <c r="E10" s="22" t="s">
        <v>74</v>
      </c>
      <c r="F10" s="22">
        <v>2024</v>
      </c>
      <c r="G10" s="22" t="s">
        <v>279</v>
      </c>
      <c r="H10" s="258" t="s">
        <v>420</v>
      </c>
      <c r="I10" s="262">
        <v>2</v>
      </c>
      <c r="J10" s="259"/>
      <c r="K10" s="259">
        <v>0</v>
      </c>
      <c r="L10" s="259" t="s">
        <v>421</v>
      </c>
      <c r="M10" s="22" t="s">
        <v>297</v>
      </c>
      <c r="N10" s="258">
        <v>45313</v>
      </c>
      <c r="O10" s="290">
        <v>8672.5663716814197</v>
      </c>
      <c r="P10" s="22">
        <v>1</v>
      </c>
      <c r="Q10" s="273">
        <v>8672.5663716814197</v>
      </c>
      <c r="R10" s="22" t="s">
        <v>316</v>
      </c>
      <c r="S10" s="22" t="s">
        <v>317</v>
      </c>
      <c r="T10" s="22" t="s">
        <v>318</v>
      </c>
      <c r="U10" s="22"/>
    </row>
    <row r="11" spans="1:21">
      <c r="A11" s="272" t="s">
        <v>113</v>
      </c>
      <c r="B11" s="22" t="s">
        <v>36</v>
      </c>
      <c r="C11" s="272" t="s">
        <v>323</v>
      </c>
      <c r="D11" s="44">
        <v>130040670023906</v>
      </c>
      <c r="E11" s="22" t="s">
        <v>74</v>
      </c>
      <c r="F11" s="22">
        <v>2024</v>
      </c>
      <c r="G11" s="22" t="s">
        <v>279</v>
      </c>
      <c r="H11" s="258" t="s">
        <v>420</v>
      </c>
      <c r="I11" s="262">
        <v>2</v>
      </c>
      <c r="J11" s="259"/>
      <c r="K11" s="259">
        <v>0</v>
      </c>
      <c r="L11" s="259" t="s">
        <v>421</v>
      </c>
      <c r="M11" s="22" t="s">
        <v>297</v>
      </c>
      <c r="N11" s="258">
        <v>45313</v>
      </c>
      <c r="O11" s="290">
        <v>3805</v>
      </c>
      <c r="P11" s="22">
        <v>1</v>
      </c>
      <c r="Q11" s="273">
        <v>3805</v>
      </c>
      <c r="R11" s="22" t="s">
        <v>316</v>
      </c>
      <c r="S11" s="22" t="s">
        <v>317</v>
      </c>
      <c r="T11" s="22" t="s">
        <v>318</v>
      </c>
      <c r="U11" s="22"/>
    </row>
    <row r="12" spans="1:21" ht="38.25">
      <c r="A12" s="272" t="s">
        <v>113</v>
      </c>
      <c r="B12" s="22" t="s">
        <v>36</v>
      </c>
      <c r="C12" s="32" t="s">
        <v>121</v>
      </c>
      <c r="D12" s="44">
        <v>130040670039442</v>
      </c>
      <c r="E12" s="22" t="s">
        <v>74</v>
      </c>
      <c r="F12" s="22">
        <v>2024</v>
      </c>
      <c r="G12" s="22" t="s">
        <v>279</v>
      </c>
      <c r="H12" s="258" t="s">
        <v>420</v>
      </c>
      <c r="I12" s="262">
        <v>2</v>
      </c>
      <c r="J12" s="259"/>
      <c r="K12" s="259">
        <v>0</v>
      </c>
      <c r="L12" s="259" t="s">
        <v>421</v>
      </c>
      <c r="M12" s="22" t="s">
        <v>297</v>
      </c>
      <c r="N12" s="258">
        <v>45313</v>
      </c>
      <c r="O12" s="290">
        <v>13717</v>
      </c>
      <c r="P12" s="22">
        <v>1</v>
      </c>
      <c r="Q12" s="273">
        <v>13717</v>
      </c>
      <c r="R12" s="22" t="s">
        <v>316</v>
      </c>
      <c r="S12" s="22" t="s">
        <v>317</v>
      </c>
      <c r="T12" s="22" t="s">
        <v>318</v>
      </c>
      <c r="U12" s="22"/>
    </row>
    <row r="13" spans="1:21" ht="25.5">
      <c r="A13" s="272" t="s">
        <v>113</v>
      </c>
      <c r="B13" s="22" t="s">
        <v>36</v>
      </c>
      <c r="C13" s="32" t="s">
        <v>114</v>
      </c>
      <c r="D13" s="44">
        <v>130040670023899</v>
      </c>
      <c r="E13" s="22" t="s">
        <v>74</v>
      </c>
      <c r="F13" s="22">
        <v>2024</v>
      </c>
      <c r="G13" s="22" t="s">
        <v>279</v>
      </c>
      <c r="H13" s="258" t="s">
        <v>420</v>
      </c>
      <c r="I13" s="262">
        <v>2</v>
      </c>
      <c r="J13" s="259"/>
      <c r="K13" s="259">
        <v>0</v>
      </c>
      <c r="L13" s="259" t="s">
        <v>421</v>
      </c>
      <c r="M13" s="22" t="s">
        <v>297</v>
      </c>
      <c r="N13" s="258">
        <v>45313</v>
      </c>
      <c r="O13" s="290">
        <v>20796</v>
      </c>
      <c r="P13" s="22">
        <v>1</v>
      </c>
      <c r="Q13" s="273">
        <v>20796</v>
      </c>
      <c r="R13" s="22" t="s">
        <v>316</v>
      </c>
      <c r="S13" s="22" t="s">
        <v>317</v>
      </c>
      <c r="T13" s="22" t="s">
        <v>318</v>
      </c>
      <c r="U13" s="22"/>
    </row>
    <row r="14" spans="1:21" ht="25.5">
      <c r="A14" s="272" t="s">
        <v>130</v>
      </c>
      <c r="B14" s="22" t="s">
        <v>36</v>
      </c>
      <c r="C14" s="32" t="s">
        <v>114</v>
      </c>
      <c r="D14" s="44">
        <v>130040670023440</v>
      </c>
      <c r="E14" s="22" t="s">
        <v>74</v>
      </c>
      <c r="F14" s="22">
        <v>2024</v>
      </c>
      <c r="G14" s="22" t="s">
        <v>280</v>
      </c>
      <c r="H14" s="258" t="s">
        <v>420</v>
      </c>
      <c r="I14" s="262">
        <v>2</v>
      </c>
      <c r="J14" s="259"/>
      <c r="K14" s="259">
        <v>0</v>
      </c>
      <c r="L14" s="259" t="s">
        <v>421</v>
      </c>
      <c r="M14" s="22" t="s">
        <v>297</v>
      </c>
      <c r="N14" s="258">
        <v>45341</v>
      </c>
      <c r="O14" s="290">
        <v>12831.858407079601</v>
      </c>
      <c r="P14" s="22">
        <v>1</v>
      </c>
      <c r="Q14" s="273">
        <v>12831.858407079601</v>
      </c>
      <c r="R14" s="22" t="s">
        <v>316</v>
      </c>
      <c r="S14" s="22" t="s">
        <v>317</v>
      </c>
      <c r="T14" s="22" t="s">
        <v>318</v>
      </c>
      <c r="U14" s="22"/>
    </row>
    <row r="15" spans="1:21" ht="25.5">
      <c r="A15" s="272" t="s">
        <v>113</v>
      </c>
      <c r="B15" s="22" t="s">
        <v>36</v>
      </c>
      <c r="C15" s="32" t="s">
        <v>119</v>
      </c>
      <c r="D15" s="44">
        <v>130040670039455</v>
      </c>
      <c r="E15" s="22" t="s">
        <v>74</v>
      </c>
      <c r="F15" s="22">
        <v>2024</v>
      </c>
      <c r="G15" s="22" t="s">
        <v>280</v>
      </c>
      <c r="H15" s="258" t="s">
        <v>420</v>
      </c>
      <c r="I15" s="262">
        <v>2</v>
      </c>
      <c r="J15" s="259"/>
      <c r="K15" s="259">
        <v>0</v>
      </c>
      <c r="L15" s="259" t="s">
        <v>421</v>
      </c>
      <c r="M15" s="22" t="s">
        <v>297</v>
      </c>
      <c r="N15" s="258">
        <v>45341</v>
      </c>
      <c r="O15" s="290">
        <v>7964.60176991151</v>
      </c>
      <c r="P15" s="22">
        <v>1</v>
      </c>
      <c r="Q15" s="273">
        <v>7964.60176991151</v>
      </c>
      <c r="R15" s="22" t="s">
        <v>316</v>
      </c>
      <c r="S15" s="22" t="s">
        <v>317</v>
      </c>
      <c r="T15" s="22" t="s">
        <v>318</v>
      </c>
      <c r="U15" s="22"/>
    </row>
    <row r="16" spans="1:21" ht="25.5">
      <c r="A16" s="272" t="s">
        <v>113</v>
      </c>
      <c r="B16" s="22" t="s">
        <v>36</v>
      </c>
      <c r="C16" s="32" t="s">
        <v>116</v>
      </c>
      <c r="D16" s="44">
        <v>130040670023906</v>
      </c>
      <c r="E16" s="22" t="s">
        <v>74</v>
      </c>
      <c r="F16" s="22">
        <v>2024</v>
      </c>
      <c r="G16" s="22" t="s">
        <v>280</v>
      </c>
      <c r="H16" s="258" t="s">
        <v>420</v>
      </c>
      <c r="I16" s="262">
        <v>2</v>
      </c>
      <c r="J16" s="259"/>
      <c r="K16" s="259">
        <v>0</v>
      </c>
      <c r="L16" s="259" t="s">
        <v>421</v>
      </c>
      <c r="M16" s="22" t="s">
        <v>297</v>
      </c>
      <c r="N16" s="258">
        <v>45341</v>
      </c>
      <c r="O16" s="290">
        <v>2477.8761061946898</v>
      </c>
      <c r="P16" s="22">
        <v>1</v>
      </c>
      <c r="Q16" s="273">
        <v>2477.8761061946898</v>
      </c>
      <c r="R16" s="22" t="s">
        <v>316</v>
      </c>
      <c r="S16" s="22" t="s">
        <v>317</v>
      </c>
      <c r="T16" s="22" t="s">
        <v>318</v>
      </c>
      <c r="U16" s="22"/>
    </row>
    <row r="17" spans="1:21" ht="25.5">
      <c r="A17" s="272" t="s">
        <v>130</v>
      </c>
      <c r="B17" s="22" t="s">
        <v>36</v>
      </c>
      <c r="C17" s="32" t="s">
        <v>114</v>
      </c>
      <c r="D17" s="44">
        <v>130040670023440</v>
      </c>
      <c r="E17" s="22" t="s">
        <v>74</v>
      </c>
      <c r="F17" s="22">
        <v>2024</v>
      </c>
      <c r="G17" s="22" t="s">
        <v>280</v>
      </c>
      <c r="H17" s="258" t="s">
        <v>420</v>
      </c>
      <c r="I17" s="262">
        <v>48</v>
      </c>
      <c r="J17" s="259">
        <v>2029684.8</v>
      </c>
      <c r="K17" s="259">
        <v>2029684.8</v>
      </c>
      <c r="L17" s="259" t="s">
        <v>422</v>
      </c>
      <c r="M17" s="22" t="s">
        <v>299</v>
      </c>
      <c r="N17" s="258">
        <v>45341</v>
      </c>
      <c r="O17" s="273">
        <v>33009</v>
      </c>
      <c r="P17" s="22">
        <v>1</v>
      </c>
      <c r="Q17" s="273">
        <v>33009</v>
      </c>
      <c r="R17" s="22" t="s">
        <v>316</v>
      </c>
      <c r="S17" s="22" t="s">
        <v>317</v>
      </c>
      <c r="T17" s="22" t="s">
        <v>318</v>
      </c>
      <c r="U17" s="22"/>
    </row>
    <row r="18" spans="1:21" ht="25.5">
      <c r="A18" s="272" t="s">
        <v>113</v>
      </c>
      <c r="B18" s="22" t="s">
        <v>36</v>
      </c>
      <c r="C18" s="32" t="s">
        <v>111</v>
      </c>
      <c r="D18" s="44">
        <v>130040670023900</v>
      </c>
      <c r="E18" s="22" t="s">
        <v>74</v>
      </c>
      <c r="F18" s="22">
        <v>2024</v>
      </c>
      <c r="G18" s="22" t="s">
        <v>280</v>
      </c>
      <c r="H18" s="258" t="s">
        <v>420</v>
      </c>
      <c r="I18" s="262">
        <v>2</v>
      </c>
      <c r="J18" s="259"/>
      <c r="K18" s="259">
        <v>0</v>
      </c>
      <c r="L18" s="259" t="s">
        <v>421</v>
      </c>
      <c r="M18" s="22" t="s">
        <v>297</v>
      </c>
      <c r="N18" s="258">
        <v>45341</v>
      </c>
      <c r="O18" s="290">
        <v>3097.34513274336</v>
      </c>
      <c r="P18" s="22">
        <v>1</v>
      </c>
      <c r="Q18" s="273">
        <v>3097.34513274336</v>
      </c>
      <c r="R18" s="22" t="s">
        <v>316</v>
      </c>
      <c r="S18" s="22" t="s">
        <v>317</v>
      </c>
      <c r="T18" s="22" t="s">
        <v>318</v>
      </c>
      <c r="U18" s="22"/>
    </row>
    <row r="19" spans="1:21" ht="25.5">
      <c r="A19" s="272" t="s">
        <v>324</v>
      </c>
      <c r="B19" s="22" t="s">
        <v>36</v>
      </c>
      <c r="C19" s="32" t="s">
        <v>114</v>
      </c>
      <c r="D19" s="44">
        <v>130040670023440</v>
      </c>
      <c r="E19" s="22" t="s">
        <v>74</v>
      </c>
      <c r="F19" s="22">
        <v>2024</v>
      </c>
      <c r="G19" s="22" t="s">
        <v>280</v>
      </c>
      <c r="H19" s="258" t="s">
        <v>420</v>
      </c>
      <c r="I19" s="262">
        <v>2</v>
      </c>
      <c r="J19" s="259"/>
      <c r="K19" s="259">
        <v>0</v>
      </c>
      <c r="L19" s="259" t="s">
        <v>421</v>
      </c>
      <c r="M19" s="22" t="s">
        <v>297</v>
      </c>
      <c r="N19" s="258">
        <v>45349</v>
      </c>
      <c r="O19" s="290">
        <v>2389.3805309734498</v>
      </c>
      <c r="P19" s="22">
        <v>1</v>
      </c>
      <c r="Q19" s="273">
        <v>2389.3805309734498</v>
      </c>
      <c r="R19" s="22" t="s">
        <v>316</v>
      </c>
      <c r="S19" s="22" t="s">
        <v>317</v>
      </c>
      <c r="T19" s="22" t="s">
        <v>318</v>
      </c>
      <c r="U19" s="22"/>
    </row>
    <row r="20" spans="1:21" ht="25.5">
      <c r="A20" s="272" t="s">
        <v>130</v>
      </c>
      <c r="B20" s="22" t="s">
        <v>36</v>
      </c>
      <c r="C20" s="32" t="s">
        <v>114</v>
      </c>
      <c r="D20" s="44">
        <v>130040670023440</v>
      </c>
      <c r="E20" s="22" t="s">
        <v>74</v>
      </c>
      <c r="F20" s="22">
        <v>2024</v>
      </c>
      <c r="G20" s="22" t="s">
        <v>280</v>
      </c>
      <c r="H20" s="258" t="s">
        <v>420</v>
      </c>
      <c r="I20" s="262">
        <v>2</v>
      </c>
      <c r="J20" s="259"/>
      <c r="K20" s="259">
        <v>0</v>
      </c>
      <c r="L20" s="259" t="s">
        <v>421</v>
      </c>
      <c r="M20" s="22" t="s">
        <v>297</v>
      </c>
      <c r="N20" s="258">
        <v>45349</v>
      </c>
      <c r="O20" s="290">
        <v>16504</v>
      </c>
      <c r="P20" s="22">
        <v>1</v>
      </c>
      <c r="Q20" s="273">
        <v>16504</v>
      </c>
      <c r="R20" s="22" t="s">
        <v>316</v>
      </c>
      <c r="S20" s="22" t="s">
        <v>317</v>
      </c>
      <c r="T20" s="22" t="s">
        <v>318</v>
      </c>
      <c r="U20" s="22"/>
    </row>
    <row r="21" spans="1:21" ht="25.5">
      <c r="A21" s="272" t="s">
        <v>113</v>
      </c>
      <c r="B21" s="22" t="s">
        <v>36</v>
      </c>
      <c r="C21" s="32" t="s">
        <v>114</v>
      </c>
      <c r="D21" s="44">
        <v>130040670023899</v>
      </c>
      <c r="E21" s="22" t="s">
        <v>74</v>
      </c>
      <c r="F21" s="22">
        <v>2024</v>
      </c>
      <c r="G21" s="22" t="s">
        <v>280</v>
      </c>
      <c r="H21" s="258" t="s">
        <v>420</v>
      </c>
      <c r="I21" s="262">
        <v>2</v>
      </c>
      <c r="J21" s="259"/>
      <c r="K21" s="259">
        <v>0</v>
      </c>
      <c r="L21" s="259" t="s">
        <v>421</v>
      </c>
      <c r="M21" s="22" t="s">
        <v>297</v>
      </c>
      <c r="N21" s="258">
        <v>45349</v>
      </c>
      <c r="O21" s="290">
        <v>2212.3893805309699</v>
      </c>
      <c r="P21" s="22">
        <v>1</v>
      </c>
      <c r="Q21" s="273">
        <v>2212.3893805309699</v>
      </c>
      <c r="R21" s="22" t="s">
        <v>316</v>
      </c>
      <c r="S21" s="22" t="s">
        <v>317</v>
      </c>
      <c r="T21" s="22" t="s">
        <v>318</v>
      </c>
      <c r="U21" s="22"/>
    </row>
    <row r="22" spans="1:21" ht="25.5">
      <c r="A22" s="272" t="s">
        <v>130</v>
      </c>
      <c r="B22" s="22" t="s">
        <v>36</v>
      </c>
      <c r="C22" s="32" t="s">
        <v>104</v>
      </c>
      <c r="D22" s="44">
        <v>130040670023445</v>
      </c>
      <c r="E22" s="22" t="s">
        <v>74</v>
      </c>
      <c r="F22" s="22">
        <v>2024</v>
      </c>
      <c r="G22" s="22" t="s">
        <v>280</v>
      </c>
      <c r="H22" s="258" t="s">
        <v>420</v>
      </c>
      <c r="I22" s="262">
        <v>2</v>
      </c>
      <c r="J22" s="259"/>
      <c r="K22" s="259">
        <v>0</v>
      </c>
      <c r="L22" s="259" t="s">
        <v>421</v>
      </c>
      <c r="M22" s="22" t="s">
        <v>297</v>
      </c>
      <c r="N22" s="258">
        <v>45350</v>
      </c>
      <c r="O22" s="290">
        <v>31858</v>
      </c>
      <c r="P22" s="22">
        <v>1</v>
      </c>
      <c r="Q22" s="273">
        <v>31858</v>
      </c>
      <c r="R22" s="22" t="s">
        <v>316</v>
      </c>
      <c r="S22" s="22" t="s">
        <v>317</v>
      </c>
      <c r="T22" s="22" t="s">
        <v>318</v>
      </c>
      <c r="U22" s="22"/>
    </row>
    <row r="23" spans="1:21" ht="25.5">
      <c r="A23" s="272" t="s">
        <v>106</v>
      </c>
      <c r="B23" s="22" t="s">
        <v>36</v>
      </c>
      <c r="C23" s="32" t="s">
        <v>104</v>
      </c>
      <c r="D23" s="44">
        <v>130040670018929</v>
      </c>
      <c r="E23" s="22" t="s">
        <v>74</v>
      </c>
      <c r="F23" s="22">
        <v>2024</v>
      </c>
      <c r="G23" s="22" t="s">
        <v>281</v>
      </c>
      <c r="H23" s="258" t="s">
        <v>420</v>
      </c>
      <c r="I23" s="262">
        <v>48</v>
      </c>
      <c r="J23" s="259">
        <v>2490280</v>
      </c>
      <c r="K23" s="259">
        <v>2490280</v>
      </c>
      <c r="L23" s="259" t="s">
        <v>422</v>
      </c>
      <c r="M23" s="22" t="s">
        <v>299</v>
      </c>
      <c r="N23" s="258">
        <v>45362</v>
      </c>
      <c r="O23" s="273">
        <v>23363</v>
      </c>
      <c r="P23" s="22">
        <v>1</v>
      </c>
      <c r="Q23" s="273">
        <v>23363</v>
      </c>
      <c r="R23" s="22" t="s">
        <v>316</v>
      </c>
      <c r="S23" s="22" t="s">
        <v>317</v>
      </c>
      <c r="T23" s="22" t="s">
        <v>318</v>
      </c>
      <c r="U23" s="22"/>
    </row>
    <row r="24" spans="1:21" ht="25.5">
      <c r="A24" s="272" t="s">
        <v>113</v>
      </c>
      <c r="B24" s="22" t="s">
        <v>36</v>
      </c>
      <c r="C24" s="32" t="s">
        <v>119</v>
      </c>
      <c r="D24" s="44">
        <v>130040670039455</v>
      </c>
      <c r="E24" s="22" t="s">
        <v>74</v>
      </c>
      <c r="F24" s="22">
        <v>2024</v>
      </c>
      <c r="G24" s="22" t="s">
        <v>281</v>
      </c>
      <c r="H24" s="258" t="s">
        <v>420</v>
      </c>
      <c r="I24" s="262">
        <v>48</v>
      </c>
      <c r="J24" s="259"/>
      <c r="K24" s="259">
        <v>0</v>
      </c>
      <c r="L24" s="259" t="s">
        <v>422</v>
      </c>
      <c r="M24" s="22" t="s">
        <v>299</v>
      </c>
      <c r="N24" s="258">
        <v>45372</v>
      </c>
      <c r="O24" s="273">
        <v>34159</v>
      </c>
      <c r="P24" s="22">
        <v>1</v>
      </c>
      <c r="Q24" s="273">
        <v>34159</v>
      </c>
      <c r="R24" s="22" t="s">
        <v>316</v>
      </c>
      <c r="S24" s="22" t="s">
        <v>317</v>
      </c>
      <c r="T24" s="22" t="s">
        <v>318</v>
      </c>
      <c r="U24" s="22"/>
    </row>
    <row r="25" spans="1:21" ht="38.25">
      <c r="A25" s="272" t="s">
        <v>113</v>
      </c>
      <c r="B25" s="22" t="s">
        <v>36</v>
      </c>
      <c r="C25" s="32" t="s">
        <v>121</v>
      </c>
      <c r="D25" s="44">
        <v>130040670039442</v>
      </c>
      <c r="E25" s="22" t="s">
        <v>74</v>
      </c>
      <c r="F25" s="22">
        <v>2024</v>
      </c>
      <c r="G25" s="22" t="s">
        <v>281</v>
      </c>
      <c r="H25" s="258" t="s">
        <v>420</v>
      </c>
      <c r="I25" s="262">
        <v>48</v>
      </c>
      <c r="J25" s="259"/>
      <c r="K25" s="259">
        <v>0</v>
      </c>
      <c r="L25" s="259" t="s">
        <v>422</v>
      </c>
      <c r="M25" s="22" t="s">
        <v>299</v>
      </c>
      <c r="N25" s="258">
        <v>45372</v>
      </c>
      <c r="O25" s="273">
        <v>33363</v>
      </c>
      <c r="P25" s="22">
        <v>1</v>
      </c>
      <c r="Q25" s="273">
        <v>33363</v>
      </c>
      <c r="R25" s="22" t="s">
        <v>316</v>
      </c>
      <c r="S25" s="22" t="s">
        <v>317</v>
      </c>
      <c r="T25" s="22" t="s">
        <v>318</v>
      </c>
      <c r="U25" s="22"/>
    </row>
    <row r="26" spans="1:21" ht="25.5">
      <c r="A26" s="272" t="s">
        <v>106</v>
      </c>
      <c r="B26" s="22" t="s">
        <v>36</v>
      </c>
      <c r="C26" s="32" t="s">
        <v>111</v>
      </c>
      <c r="D26" s="44">
        <v>130040670018919</v>
      </c>
      <c r="E26" s="22" t="s">
        <v>74</v>
      </c>
      <c r="F26" s="22">
        <v>2024</v>
      </c>
      <c r="G26" s="22" t="s">
        <v>281</v>
      </c>
      <c r="H26" s="258" t="s">
        <v>420</v>
      </c>
      <c r="I26" s="262">
        <v>48</v>
      </c>
      <c r="J26" s="259">
        <v>1969920</v>
      </c>
      <c r="K26" s="259">
        <v>1969920</v>
      </c>
      <c r="L26" s="259" t="s">
        <v>422</v>
      </c>
      <c r="M26" s="22" t="s">
        <v>299</v>
      </c>
      <c r="N26" s="258">
        <v>45376</v>
      </c>
      <c r="O26" s="273">
        <v>556000</v>
      </c>
      <c r="P26" s="22">
        <v>1</v>
      </c>
      <c r="Q26" s="273">
        <v>556000</v>
      </c>
      <c r="R26" s="22" t="s">
        <v>316</v>
      </c>
      <c r="S26" s="22" t="s">
        <v>317</v>
      </c>
      <c r="T26" s="22" t="s">
        <v>318</v>
      </c>
      <c r="U26" s="22"/>
    </row>
    <row r="27" spans="1:21" ht="38.25">
      <c r="A27" s="272" t="s">
        <v>107</v>
      </c>
      <c r="B27" s="22" t="s">
        <v>36</v>
      </c>
      <c r="C27" s="32" t="s">
        <v>121</v>
      </c>
      <c r="D27" s="44">
        <v>130040670039442</v>
      </c>
      <c r="E27" s="22" t="s">
        <v>74</v>
      </c>
      <c r="F27" s="22">
        <v>2024</v>
      </c>
      <c r="G27" s="22" t="s">
        <v>281</v>
      </c>
      <c r="H27" s="258" t="s">
        <v>420</v>
      </c>
      <c r="I27" s="262">
        <v>2</v>
      </c>
      <c r="J27" s="259"/>
      <c r="K27" s="259">
        <v>0</v>
      </c>
      <c r="L27" s="259" t="s">
        <v>421</v>
      </c>
      <c r="M27" s="22" t="s">
        <v>297</v>
      </c>
      <c r="N27" s="258">
        <v>45377</v>
      </c>
      <c r="O27" s="290">
        <v>11238.938053097299</v>
      </c>
      <c r="P27" s="22">
        <v>1</v>
      </c>
      <c r="Q27" s="273">
        <v>11238.938053097299</v>
      </c>
      <c r="R27" s="22" t="s">
        <v>316</v>
      </c>
      <c r="S27" s="22" t="s">
        <v>317</v>
      </c>
      <c r="T27" s="22" t="s">
        <v>318</v>
      </c>
      <c r="U27" s="22"/>
    </row>
    <row r="28" spans="1:21" ht="38.25">
      <c r="A28" s="272" t="s">
        <v>113</v>
      </c>
      <c r="B28" s="22" t="s">
        <v>36</v>
      </c>
      <c r="C28" s="32" t="s">
        <v>121</v>
      </c>
      <c r="D28" s="44">
        <v>130040670039442</v>
      </c>
      <c r="E28" s="22" t="s">
        <v>74</v>
      </c>
      <c r="F28" s="22">
        <v>2024</v>
      </c>
      <c r="G28" s="22" t="s">
        <v>281</v>
      </c>
      <c r="H28" s="258" t="s">
        <v>420</v>
      </c>
      <c r="I28" s="262">
        <v>2</v>
      </c>
      <c r="J28" s="259"/>
      <c r="K28" s="259">
        <v>0</v>
      </c>
      <c r="L28" s="259" t="s">
        <v>421</v>
      </c>
      <c r="M28" s="22" t="s">
        <v>297</v>
      </c>
      <c r="N28" s="258">
        <v>45377</v>
      </c>
      <c r="O28" s="290">
        <v>12035</v>
      </c>
      <c r="P28" s="22">
        <v>1</v>
      </c>
      <c r="Q28" s="273">
        <v>12035</v>
      </c>
      <c r="R28" s="22" t="s">
        <v>316</v>
      </c>
      <c r="S28" s="22" t="s">
        <v>317</v>
      </c>
      <c r="T28" s="22" t="s">
        <v>318</v>
      </c>
      <c r="U28" s="22"/>
    </row>
    <row r="29" spans="1:21" ht="38.25">
      <c r="A29" s="272" t="s">
        <v>113</v>
      </c>
      <c r="B29" s="22" t="s">
        <v>36</v>
      </c>
      <c r="C29" s="32" t="s">
        <v>121</v>
      </c>
      <c r="D29" s="44">
        <v>130040670039442</v>
      </c>
      <c r="E29" s="22" t="s">
        <v>74</v>
      </c>
      <c r="F29" s="22">
        <v>2024</v>
      </c>
      <c r="G29" s="22" t="s">
        <v>281</v>
      </c>
      <c r="H29" s="258" t="s">
        <v>420</v>
      </c>
      <c r="I29" s="262">
        <v>48</v>
      </c>
      <c r="J29" s="259"/>
      <c r="K29" s="259">
        <v>0</v>
      </c>
      <c r="L29" s="259" t="s">
        <v>422</v>
      </c>
      <c r="M29" s="22" t="s">
        <v>299</v>
      </c>
      <c r="N29" s="258">
        <v>45377</v>
      </c>
      <c r="O29" s="273">
        <v>22124</v>
      </c>
      <c r="P29" s="22">
        <v>1</v>
      </c>
      <c r="Q29" s="273">
        <v>22124</v>
      </c>
      <c r="R29" s="22" t="s">
        <v>316</v>
      </c>
      <c r="S29" s="22" t="s">
        <v>317</v>
      </c>
      <c r="T29" s="22" t="s">
        <v>318</v>
      </c>
      <c r="U29" s="22"/>
    </row>
    <row r="30" spans="1:21" ht="38.25">
      <c r="A30" s="272" t="s">
        <v>113</v>
      </c>
      <c r="B30" s="22" t="s">
        <v>36</v>
      </c>
      <c r="C30" s="32" t="s">
        <v>121</v>
      </c>
      <c r="D30" s="44">
        <v>130040670039442</v>
      </c>
      <c r="E30" s="22" t="s">
        <v>74</v>
      </c>
      <c r="F30" s="22">
        <v>2024</v>
      </c>
      <c r="G30" s="22" t="s">
        <v>281</v>
      </c>
      <c r="H30" s="258" t="s">
        <v>420</v>
      </c>
      <c r="I30" s="262">
        <v>48</v>
      </c>
      <c r="J30" s="259"/>
      <c r="K30" s="259">
        <v>0</v>
      </c>
      <c r="L30" s="259" t="s">
        <v>422</v>
      </c>
      <c r="M30" s="22" t="s">
        <v>299</v>
      </c>
      <c r="N30" s="258">
        <v>45377</v>
      </c>
      <c r="O30" s="273">
        <v>22124</v>
      </c>
      <c r="P30" s="22">
        <v>1</v>
      </c>
      <c r="Q30" s="273">
        <v>22124</v>
      </c>
      <c r="R30" s="22" t="s">
        <v>316</v>
      </c>
      <c r="S30" s="22" t="s">
        <v>317</v>
      </c>
      <c r="T30" s="22" t="s">
        <v>318</v>
      </c>
      <c r="U30" s="22"/>
    </row>
    <row r="31" spans="1:21" ht="38.25">
      <c r="A31" s="272" t="s">
        <v>127</v>
      </c>
      <c r="B31" s="22" t="s">
        <v>36</v>
      </c>
      <c r="C31" s="32" t="s">
        <v>129</v>
      </c>
      <c r="D31" s="44">
        <v>130040670017658</v>
      </c>
      <c r="E31" s="22" t="s">
        <v>74</v>
      </c>
      <c r="F31" s="22">
        <v>2024</v>
      </c>
      <c r="G31" s="22" t="s">
        <v>282</v>
      </c>
      <c r="H31" s="258" t="s">
        <v>420</v>
      </c>
      <c r="I31" s="262">
        <v>48</v>
      </c>
      <c r="J31" s="259">
        <v>2709491.2</v>
      </c>
      <c r="K31" s="259">
        <v>2709491.2</v>
      </c>
      <c r="L31" s="259" t="s">
        <v>422</v>
      </c>
      <c r="M31" s="22" t="s">
        <v>299</v>
      </c>
      <c r="N31" s="258">
        <v>45385</v>
      </c>
      <c r="O31" s="273">
        <v>6460.1769911504398</v>
      </c>
      <c r="P31" s="22">
        <v>1</v>
      </c>
      <c r="Q31" s="273">
        <v>6460.1769911504398</v>
      </c>
      <c r="R31" s="22" t="s">
        <v>316</v>
      </c>
      <c r="S31" s="22" t="s">
        <v>317</v>
      </c>
      <c r="T31" s="22" t="s">
        <v>318</v>
      </c>
      <c r="U31" s="22"/>
    </row>
    <row r="32" spans="1:21">
      <c r="A32" s="272" t="s">
        <v>130</v>
      </c>
      <c r="B32" s="22" t="s">
        <v>36</v>
      </c>
      <c r="C32" s="274" t="s">
        <v>122</v>
      </c>
      <c r="D32" s="44">
        <v>130040670017669</v>
      </c>
      <c r="E32" s="22" t="s">
        <v>74</v>
      </c>
      <c r="F32" s="22">
        <v>2024</v>
      </c>
      <c r="G32" s="22" t="s">
        <v>282</v>
      </c>
      <c r="H32" s="258" t="s">
        <v>420</v>
      </c>
      <c r="I32" s="262">
        <v>48</v>
      </c>
      <c r="J32" s="259"/>
      <c r="K32" s="259">
        <v>0</v>
      </c>
      <c r="L32" s="259" t="s">
        <v>422</v>
      </c>
      <c r="M32" s="22" t="s">
        <v>299</v>
      </c>
      <c r="N32" s="258">
        <v>45392</v>
      </c>
      <c r="O32" s="273">
        <v>5752.2123893805301</v>
      </c>
      <c r="P32" s="22">
        <v>1</v>
      </c>
      <c r="Q32" s="273">
        <v>5752.2123893805301</v>
      </c>
      <c r="R32" s="22" t="s">
        <v>316</v>
      </c>
      <c r="S32" s="22" t="s">
        <v>317</v>
      </c>
      <c r="T32" s="22" t="s">
        <v>318</v>
      </c>
      <c r="U32" s="22"/>
    </row>
    <row r="33" spans="1:21">
      <c r="A33" s="272" t="s">
        <v>130</v>
      </c>
      <c r="B33" s="22" t="s">
        <v>36</v>
      </c>
      <c r="C33" s="274" t="s">
        <v>122</v>
      </c>
      <c r="D33" s="44">
        <v>130040670017669</v>
      </c>
      <c r="E33" s="22" t="s">
        <v>74</v>
      </c>
      <c r="F33" s="22">
        <v>2024</v>
      </c>
      <c r="G33" s="22" t="s">
        <v>282</v>
      </c>
      <c r="H33" s="258" t="s">
        <v>420</v>
      </c>
      <c r="I33" s="262">
        <v>48</v>
      </c>
      <c r="J33" s="259"/>
      <c r="K33" s="259">
        <v>0</v>
      </c>
      <c r="L33" s="259" t="s">
        <v>422</v>
      </c>
      <c r="M33" s="22" t="s">
        <v>299</v>
      </c>
      <c r="N33" s="258">
        <v>45392</v>
      </c>
      <c r="O33" s="273">
        <v>5752.2123893805301</v>
      </c>
      <c r="P33" s="22">
        <v>1</v>
      </c>
      <c r="Q33" s="273">
        <v>5752.2123893805301</v>
      </c>
      <c r="R33" s="22" t="s">
        <v>316</v>
      </c>
      <c r="S33" s="22" t="s">
        <v>317</v>
      </c>
      <c r="T33" s="22" t="s">
        <v>318</v>
      </c>
      <c r="U33" s="22"/>
    </row>
    <row r="34" spans="1:21" ht="25.5">
      <c r="A34" s="274" t="s">
        <v>130</v>
      </c>
      <c r="B34" s="22" t="s">
        <v>36</v>
      </c>
      <c r="C34" s="32" t="s">
        <v>114</v>
      </c>
      <c r="D34" s="44">
        <v>130040670023440</v>
      </c>
      <c r="E34" s="22" t="s">
        <v>74</v>
      </c>
      <c r="F34" s="22">
        <v>2024</v>
      </c>
      <c r="G34" s="22" t="s">
        <v>282</v>
      </c>
      <c r="H34" s="258" t="s">
        <v>420</v>
      </c>
      <c r="I34" s="262">
        <v>2</v>
      </c>
      <c r="J34" s="259"/>
      <c r="K34" s="259">
        <v>0</v>
      </c>
      <c r="L34" s="259" t="s">
        <v>421</v>
      </c>
      <c r="M34" s="22" t="s">
        <v>297</v>
      </c>
      <c r="N34" s="258">
        <v>45392</v>
      </c>
      <c r="O34" s="290">
        <v>5309.7345132743403</v>
      </c>
      <c r="P34" s="22">
        <v>1</v>
      </c>
      <c r="Q34" s="273">
        <v>5309.7345132743403</v>
      </c>
      <c r="R34" s="22" t="s">
        <v>316</v>
      </c>
      <c r="S34" s="22" t="s">
        <v>317</v>
      </c>
      <c r="T34" s="22" t="s">
        <v>318</v>
      </c>
      <c r="U34" s="22"/>
    </row>
    <row r="35" spans="1:21">
      <c r="A35" s="272" t="s">
        <v>113</v>
      </c>
      <c r="B35" s="22" t="s">
        <v>36</v>
      </c>
      <c r="C35" s="272" t="s">
        <v>323</v>
      </c>
      <c r="D35" s="44">
        <v>130040670023906</v>
      </c>
      <c r="E35" s="22" t="s">
        <v>74</v>
      </c>
      <c r="F35" s="22">
        <v>2024</v>
      </c>
      <c r="G35" s="22" t="s">
        <v>282</v>
      </c>
      <c r="H35" s="258" t="s">
        <v>420</v>
      </c>
      <c r="I35" s="262">
        <v>48</v>
      </c>
      <c r="J35" s="259"/>
      <c r="K35" s="259">
        <v>0</v>
      </c>
      <c r="L35" s="259" t="s">
        <v>422</v>
      </c>
      <c r="M35" s="22" t="s">
        <v>299</v>
      </c>
      <c r="N35" s="258">
        <v>45393</v>
      </c>
      <c r="O35" s="273">
        <v>5752.2123893805301</v>
      </c>
      <c r="P35" s="22">
        <v>1</v>
      </c>
      <c r="Q35" s="273">
        <v>5752.2123893805301</v>
      </c>
      <c r="R35" s="22" t="s">
        <v>316</v>
      </c>
      <c r="S35" s="22" t="s">
        <v>317</v>
      </c>
      <c r="T35" s="22" t="s">
        <v>318</v>
      </c>
      <c r="U35" s="22"/>
    </row>
    <row r="36" spans="1:21" ht="25.5">
      <c r="A36" s="272" t="s">
        <v>130</v>
      </c>
      <c r="B36" s="22" t="s">
        <v>36</v>
      </c>
      <c r="C36" s="32" t="s">
        <v>114</v>
      </c>
      <c r="D36" s="44">
        <v>130040670023440</v>
      </c>
      <c r="E36" s="22" t="s">
        <v>74</v>
      </c>
      <c r="F36" s="22">
        <v>2024</v>
      </c>
      <c r="G36" s="22" t="s">
        <v>282</v>
      </c>
      <c r="H36" s="258" t="s">
        <v>420</v>
      </c>
      <c r="I36" s="262">
        <v>48</v>
      </c>
      <c r="J36" s="259">
        <v>2029684.8</v>
      </c>
      <c r="K36" s="259">
        <v>2029684.8</v>
      </c>
      <c r="L36" s="259" t="s">
        <v>422</v>
      </c>
      <c r="M36" s="22" t="s">
        <v>299</v>
      </c>
      <c r="N36" s="258">
        <v>45393</v>
      </c>
      <c r="O36" s="273">
        <v>15929.203539823</v>
      </c>
      <c r="P36" s="22">
        <v>1</v>
      </c>
      <c r="Q36" s="273">
        <v>15929.203539823</v>
      </c>
      <c r="R36" s="22" t="s">
        <v>316</v>
      </c>
      <c r="S36" s="22" t="s">
        <v>317</v>
      </c>
      <c r="T36" s="22" t="s">
        <v>318</v>
      </c>
      <c r="U36" s="22"/>
    </row>
    <row r="37" spans="1:21">
      <c r="A37" s="274" t="s">
        <v>130</v>
      </c>
      <c r="B37" s="22" t="s">
        <v>36</v>
      </c>
      <c r="C37" s="274" t="s">
        <v>122</v>
      </c>
      <c r="D37" s="44">
        <v>130040670017669</v>
      </c>
      <c r="E37" s="22" t="s">
        <v>74</v>
      </c>
      <c r="F37" s="22">
        <v>2024</v>
      </c>
      <c r="G37" s="22" t="s">
        <v>282</v>
      </c>
      <c r="H37" s="258" t="s">
        <v>420</v>
      </c>
      <c r="I37" s="262">
        <v>48</v>
      </c>
      <c r="J37" s="259"/>
      <c r="K37" s="259">
        <v>0</v>
      </c>
      <c r="L37" s="259" t="s">
        <v>422</v>
      </c>
      <c r="M37" s="22" t="s">
        <v>299</v>
      </c>
      <c r="N37" s="258">
        <v>45394</v>
      </c>
      <c r="O37" s="273">
        <v>13539.8230088496</v>
      </c>
      <c r="P37" s="22">
        <v>1</v>
      </c>
      <c r="Q37" s="273">
        <v>13539.8230088496</v>
      </c>
      <c r="R37" s="22" t="s">
        <v>316</v>
      </c>
      <c r="S37" s="22" t="s">
        <v>317</v>
      </c>
      <c r="T37" s="22" t="s">
        <v>318</v>
      </c>
      <c r="U37" s="22"/>
    </row>
    <row r="38" spans="1:21" ht="25.5">
      <c r="A38" s="272" t="s">
        <v>113</v>
      </c>
      <c r="B38" s="22" t="s">
        <v>36</v>
      </c>
      <c r="C38" s="32" t="s">
        <v>119</v>
      </c>
      <c r="D38" s="44">
        <v>130040670039455</v>
      </c>
      <c r="E38" s="22" t="s">
        <v>74</v>
      </c>
      <c r="F38" s="22">
        <v>2024</v>
      </c>
      <c r="G38" s="22" t="s">
        <v>282</v>
      </c>
      <c r="H38" s="258" t="s">
        <v>420</v>
      </c>
      <c r="I38" s="262">
        <v>48</v>
      </c>
      <c r="J38" s="259"/>
      <c r="K38" s="259">
        <v>0</v>
      </c>
      <c r="L38" s="259" t="s">
        <v>422</v>
      </c>
      <c r="M38" s="22" t="s">
        <v>299</v>
      </c>
      <c r="N38" s="258">
        <v>45394</v>
      </c>
      <c r="O38" s="273">
        <v>22124</v>
      </c>
      <c r="P38" s="22">
        <v>1</v>
      </c>
      <c r="Q38" s="273">
        <v>22124</v>
      </c>
      <c r="R38" s="22" t="s">
        <v>316</v>
      </c>
      <c r="S38" s="22" t="s">
        <v>317</v>
      </c>
      <c r="T38" s="22" t="s">
        <v>318</v>
      </c>
      <c r="U38" s="22"/>
    </row>
    <row r="39" spans="1:21" ht="38.25">
      <c r="A39" s="272" t="s">
        <v>113</v>
      </c>
      <c r="B39" s="22" t="s">
        <v>36</v>
      </c>
      <c r="C39" s="32" t="s">
        <v>121</v>
      </c>
      <c r="D39" s="44">
        <v>130040670039442</v>
      </c>
      <c r="E39" s="22" t="s">
        <v>74</v>
      </c>
      <c r="F39" s="22">
        <v>2024</v>
      </c>
      <c r="G39" s="22" t="s">
        <v>282</v>
      </c>
      <c r="H39" s="258" t="s">
        <v>420</v>
      </c>
      <c r="I39" s="262">
        <v>48</v>
      </c>
      <c r="J39" s="259"/>
      <c r="K39" s="259">
        <v>0</v>
      </c>
      <c r="L39" s="259" t="s">
        <v>422</v>
      </c>
      <c r="M39" s="22" t="s">
        <v>299</v>
      </c>
      <c r="N39" s="258">
        <v>45394</v>
      </c>
      <c r="O39" s="273">
        <v>22124</v>
      </c>
      <c r="P39" s="22">
        <v>1</v>
      </c>
      <c r="Q39" s="273">
        <v>22124</v>
      </c>
      <c r="R39" s="22" t="s">
        <v>316</v>
      </c>
      <c r="S39" s="22" t="s">
        <v>317</v>
      </c>
      <c r="T39" s="22" t="s">
        <v>318</v>
      </c>
      <c r="U39" s="22"/>
    </row>
    <row r="40" spans="1:21" ht="38.25">
      <c r="A40" s="272" t="s">
        <v>127</v>
      </c>
      <c r="B40" s="22" t="s">
        <v>36</v>
      </c>
      <c r="C40" s="32" t="s">
        <v>129</v>
      </c>
      <c r="D40" s="44">
        <v>130040670017658</v>
      </c>
      <c r="E40" s="22" t="s">
        <v>74</v>
      </c>
      <c r="F40" s="22">
        <v>2024</v>
      </c>
      <c r="G40" s="22" t="s">
        <v>282</v>
      </c>
      <c r="H40" s="258" t="s">
        <v>420</v>
      </c>
      <c r="I40" s="262">
        <v>48</v>
      </c>
      <c r="J40" s="259">
        <v>2709491.2</v>
      </c>
      <c r="K40" s="259">
        <v>2709491.2</v>
      </c>
      <c r="L40" s="259" t="s">
        <v>422</v>
      </c>
      <c r="M40" s="22" t="s">
        <v>299</v>
      </c>
      <c r="N40" s="258">
        <v>45395</v>
      </c>
      <c r="O40" s="273">
        <v>6460.1769911504398</v>
      </c>
      <c r="P40" s="22">
        <v>1</v>
      </c>
      <c r="Q40" s="273">
        <v>6460.1769911504398</v>
      </c>
      <c r="R40" s="22" t="s">
        <v>316</v>
      </c>
      <c r="S40" s="22" t="s">
        <v>317</v>
      </c>
      <c r="T40" s="22" t="s">
        <v>318</v>
      </c>
      <c r="U40" s="22"/>
    </row>
    <row r="41" spans="1:21" ht="25.5">
      <c r="A41" s="272" t="s">
        <v>130</v>
      </c>
      <c r="B41" s="22" t="s">
        <v>36</v>
      </c>
      <c r="C41" s="32" t="s">
        <v>132</v>
      </c>
      <c r="D41" s="44">
        <v>130040670024534</v>
      </c>
      <c r="E41" s="22" t="s">
        <v>74</v>
      </c>
      <c r="F41" s="22">
        <v>2024</v>
      </c>
      <c r="G41" s="22" t="s">
        <v>282</v>
      </c>
      <c r="H41" s="258" t="s">
        <v>420</v>
      </c>
      <c r="I41" s="262">
        <v>48</v>
      </c>
      <c r="J41" s="259">
        <v>2935296</v>
      </c>
      <c r="K41" s="259">
        <v>2935296</v>
      </c>
      <c r="L41" s="259" t="s">
        <v>422</v>
      </c>
      <c r="M41" s="22" t="s">
        <v>299</v>
      </c>
      <c r="N41" s="258">
        <v>45395</v>
      </c>
      <c r="O41" s="273">
        <v>5752.2123893805301</v>
      </c>
      <c r="P41" s="22">
        <v>1</v>
      </c>
      <c r="Q41" s="273">
        <v>5752.2123893805301</v>
      </c>
      <c r="R41" s="22" t="s">
        <v>316</v>
      </c>
      <c r="S41" s="22" t="s">
        <v>317</v>
      </c>
      <c r="T41" s="22" t="s">
        <v>318</v>
      </c>
      <c r="U41" s="22"/>
    </row>
    <row r="42" spans="1:21">
      <c r="A42" s="272" t="s">
        <v>125</v>
      </c>
      <c r="B42" s="22" t="s">
        <v>36</v>
      </c>
      <c r="C42" s="272" t="s">
        <v>104</v>
      </c>
      <c r="D42" s="44">
        <v>130040670021246</v>
      </c>
      <c r="E42" s="22" t="s">
        <v>74</v>
      </c>
      <c r="F42" s="22">
        <v>2024</v>
      </c>
      <c r="G42" s="22" t="s">
        <v>282</v>
      </c>
      <c r="H42" s="258" t="s">
        <v>420</v>
      </c>
      <c r="I42" s="262">
        <v>48</v>
      </c>
      <c r="J42" s="259">
        <v>2737152</v>
      </c>
      <c r="K42" s="259">
        <v>2737152</v>
      </c>
      <c r="L42" s="259" t="s">
        <v>422</v>
      </c>
      <c r="M42" s="22" t="s">
        <v>299</v>
      </c>
      <c r="N42" s="258">
        <v>45398</v>
      </c>
      <c r="O42" s="273">
        <v>11272.5663716814</v>
      </c>
      <c r="P42" s="22">
        <v>1</v>
      </c>
      <c r="Q42" s="273">
        <v>11272.5663716814</v>
      </c>
      <c r="R42" s="22" t="s">
        <v>316</v>
      </c>
      <c r="S42" s="22" t="s">
        <v>317</v>
      </c>
      <c r="T42" s="22" t="s">
        <v>318</v>
      </c>
      <c r="U42" s="22"/>
    </row>
    <row r="43" spans="1:21" ht="25.5">
      <c r="A43" s="274" t="s">
        <v>113</v>
      </c>
      <c r="B43" s="22" t="s">
        <v>36</v>
      </c>
      <c r="C43" s="32" t="s">
        <v>114</v>
      </c>
      <c r="D43" s="44">
        <v>130040670023899</v>
      </c>
      <c r="E43" s="22" t="s">
        <v>74</v>
      </c>
      <c r="F43" s="22">
        <v>2024</v>
      </c>
      <c r="G43" s="22" t="s">
        <v>282</v>
      </c>
      <c r="H43" s="258" t="s">
        <v>420</v>
      </c>
      <c r="I43" s="262">
        <v>2</v>
      </c>
      <c r="J43" s="259"/>
      <c r="K43" s="259">
        <v>0</v>
      </c>
      <c r="L43" s="259" t="s">
        <v>421</v>
      </c>
      <c r="M43" s="22" t="s">
        <v>297</v>
      </c>
      <c r="N43" s="258">
        <v>45398</v>
      </c>
      <c r="O43" s="290">
        <v>3362.8318584070798</v>
      </c>
      <c r="P43" s="22">
        <v>1</v>
      </c>
      <c r="Q43" s="273">
        <v>3362.8318584070798</v>
      </c>
      <c r="R43" s="22" t="s">
        <v>316</v>
      </c>
      <c r="S43" s="22" t="s">
        <v>317</v>
      </c>
      <c r="T43" s="22" t="s">
        <v>318</v>
      </c>
      <c r="U43" s="22"/>
    </row>
    <row r="44" spans="1:21">
      <c r="A44" s="274" t="s">
        <v>153</v>
      </c>
      <c r="B44" s="22" t="s">
        <v>36</v>
      </c>
      <c r="C44" s="32" t="s">
        <v>112</v>
      </c>
      <c r="D44" s="44">
        <v>130040670043029</v>
      </c>
      <c r="E44" s="22" t="s">
        <v>74</v>
      </c>
      <c r="F44" s="22">
        <v>2024</v>
      </c>
      <c r="G44" s="22" t="s">
        <v>282</v>
      </c>
      <c r="H44" s="258" t="s">
        <v>420</v>
      </c>
      <c r="I44" s="262">
        <v>2</v>
      </c>
      <c r="J44" s="259"/>
      <c r="K44" s="259">
        <v>0</v>
      </c>
      <c r="L44" s="259" t="s">
        <v>421</v>
      </c>
      <c r="M44" s="22" t="s">
        <v>297</v>
      </c>
      <c r="N44" s="258">
        <v>45401</v>
      </c>
      <c r="O44" s="290">
        <v>2212.3893805309699</v>
      </c>
      <c r="P44" s="22">
        <v>1</v>
      </c>
      <c r="Q44" s="273">
        <v>2212.3893805309699</v>
      </c>
      <c r="R44" s="22" t="s">
        <v>316</v>
      </c>
      <c r="S44" s="22" t="s">
        <v>317</v>
      </c>
      <c r="T44" s="22" t="s">
        <v>318</v>
      </c>
      <c r="U44" s="22"/>
    </row>
    <row r="45" spans="1:21" ht="38.25">
      <c r="A45" s="272" t="s">
        <v>113</v>
      </c>
      <c r="B45" s="22" t="s">
        <v>36</v>
      </c>
      <c r="C45" s="32" t="s">
        <v>121</v>
      </c>
      <c r="D45" s="44">
        <v>130040670039442</v>
      </c>
      <c r="E45" s="22" t="s">
        <v>74</v>
      </c>
      <c r="F45" s="22">
        <v>2024</v>
      </c>
      <c r="G45" s="22" t="s">
        <v>282</v>
      </c>
      <c r="H45" s="258" t="s">
        <v>420</v>
      </c>
      <c r="I45" s="262">
        <v>48</v>
      </c>
      <c r="J45" s="259"/>
      <c r="K45" s="259">
        <v>0</v>
      </c>
      <c r="L45" s="259" t="s">
        <v>422</v>
      </c>
      <c r="M45" s="22" t="s">
        <v>299</v>
      </c>
      <c r="N45" s="258">
        <v>45401</v>
      </c>
      <c r="O45" s="273">
        <v>22123.893805309701</v>
      </c>
      <c r="P45" s="22">
        <v>1</v>
      </c>
      <c r="Q45" s="273">
        <v>22123.893805309701</v>
      </c>
      <c r="R45" s="22" t="s">
        <v>316</v>
      </c>
      <c r="S45" s="22" t="s">
        <v>317</v>
      </c>
      <c r="T45" s="22" t="s">
        <v>318</v>
      </c>
      <c r="U45" s="22"/>
    </row>
    <row r="46" spans="1:21" ht="25.5">
      <c r="A46" s="272" t="s">
        <v>113</v>
      </c>
      <c r="B46" s="22" t="s">
        <v>36</v>
      </c>
      <c r="C46" s="32" t="s">
        <v>119</v>
      </c>
      <c r="D46" s="44">
        <v>130040670039455</v>
      </c>
      <c r="E46" s="22" t="s">
        <v>74</v>
      </c>
      <c r="F46" s="22">
        <v>2024</v>
      </c>
      <c r="G46" s="22" t="s">
        <v>282</v>
      </c>
      <c r="H46" s="258" t="s">
        <v>420</v>
      </c>
      <c r="I46" s="262">
        <v>48</v>
      </c>
      <c r="J46" s="259"/>
      <c r="K46" s="259">
        <v>0</v>
      </c>
      <c r="L46" s="259" t="s">
        <v>422</v>
      </c>
      <c r="M46" s="22" t="s">
        <v>299</v>
      </c>
      <c r="N46" s="258">
        <v>45401</v>
      </c>
      <c r="O46" s="273">
        <v>22123.893805309701</v>
      </c>
      <c r="P46" s="22">
        <v>1</v>
      </c>
      <c r="Q46" s="273">
        <v>22123.893805309701</v>
      </c>
      <c r="R46" s="22" t="s">
        <v>316</v>
      </c>
      <c r="S46" s="22" t="s">
        <v>317</v>
      </c>
      <c r="T46" s="22" t="s">
        <v>318</v>
      </c>
      <c r="U46" s="22"/>
    </row>
    <row r="47" spans="1:21">
      <c r="A47" s="274" t="s">
        <v>130</v>
      </c>
      <c r="B47" s="22" t="s">
        <v>36</v>
      </c>
      <c r="C47" s="274" t="s">
        <v>122</v>
      </c>
      <c r="D47" s="44">
        <v>130040670017669</v>
      </c>
      <c r="E47" s="22" t="s">
        <v>74</v>
      </c>
      <c r="F47" s="22">
        <v>2024</v>
      </c>
      <c r="G47" s="22" t="s">
        <v>282</v>
      </c>
      <c r="H47" s="258" t="s">
        <v>420</v>
      </c>
      <c r="I47" s="262">
        <v>48</v>
      </c>
      <c r="J47" s="259"/>
      <c r="K47" s="259">
        <v>0</v>
      </c>
      <c r="L47" s="259" t="s">
        <v>422</v>
      </c>
      <c r="M47" s="22" t="s">
        <v>299</v>
      </c>
      <c r="N47" s="258">
        <v>45411</v>
      </c>
      <c r="O47" s="273">
        <v>25663.716814159299</v>
      </c>
      <c r="P47" s="22">
        <v>1</v>
      </c>
      <c r="Q47" s="273">
        <v>25663.716814159299</v>
      </c>
      <c r="R47" s="22" t="s">
        <v>316</v>
      </c>
      <c r="S47" s="22" t="s">
        <v>317</v>
      </c>
      <c r="T47" s="22" t="s">
        <v>318</v>
      </c>
      <c r="U47" s="22"/>
    </row>
    <row r="48" spans="1:21">
      <c r="A48" s="274" t="s">
        <v>130</v>
      </c>
      <c r="B48" s="22" t="s">
        <v>36</v>
      </c>
      <c r="C48" s="274" t="s">
        <v>122</v>
      </c>
      <c r="D48" s="44">
        <v>130040670017669</v>
      </c>
      <c r="E48" s="22" t="s">
        <v>74</v>
      </c>
      <c r="F48" s="22">
        <v>2024</v>
      </c>
      <c r="G48" s="22" t="s">
        <v>283</v>
      </c>
      <c r="H48" s="258" t="s">
        <v>420</v>
      </c>
      <c r="I48" s="262">
        <v>48</v>
      </c>
      <c r="J48" s="259"/>
      <c r="K48" s="259">
        <v>0</v>
      </c>
      <c r="L48" s="259" t="s">
        <v>422</v>
      </c>
      <c r="M48" s="22" t="s">
        <v>299</v>
      </c>
      <c r="N48" s="258">
        <v>45421</v>
      </c>
      <c r="O48" s="273">
        <v>10176.9911504425</v>
      </c>
      <c r="P48" s="22">
        <v>1</v>
      </c>
      <c r="Q48" s="273">
        <v>10176.9911504425</v>
      </c>
      <c r="R48" s="22" t="s">
        <v>316</v>
      </c>
      <c r="S48" s="22" t="s">
        <v>317</v>
      </c>
      <c r="T48" s="22" t="s">
        <v>318</v>
      </c>
      <c r="U48" s="22"/>
    </row>
    <row r="49" spans="1:21">
      <c r="A49" s="274" t="s">
        <v>130</v>
      </c>
      <c r="B49" s="22" t="s">
        <v>36</v>
      </c>
      <c r="C49" s="274" t="s">
        <v>122</v>
      </c>
      <c r="D49" s="44">
        <v>130040670017669</v>
      </c>
      <c r="E49" s="22" t="s">
        <v>74</v>
      </c>
      <c r="F49" s="22">
        <v>2024</v>
      </c>
      <c r="G49" s="22" t="s">
        <v>283</v>
      </c>
      <c r="H49" s="258" t="s">
        <v>420</v>
      </c>
      <c r="I49" s="262">
        <v>48</v>
      </c>
      <c r="J49" s="259"/>
      <c r="K49" s="259">
        <v>0</v>
      </c>
      <c r="L49" s="259" t="s">
        <v>422</v>
      </c>
      <c r="M49" s="22" t="s">
        <v>299</v>
      </c>
      <c r="N49" s="258">
        <v>45441</v>
      </c>
      <c r="O49" s="273">
        <v>13539.8230088496</v>
      </c>
      <c r="P49" s="22">
        <v>1</v>
      </c>
      <c r="Q49" s="273">
        <v>13539.8230088496</v>
      </c>
      <c r="R49" s="22" t="s">
        <v>316</v>
      </c>
      <c r="S49" s="22" t="s">
        <v>317</v>
      </c>
      <c r="T49" s="22" t="s">
        <v>318</v>
      </c>
      <c r="U49" s="22"/>
    </row>
    <row r="50" spans="1:21" ht="25.5">
      <c r="A50" s="263" t="s">
        <v>130</v>
      </c>
      <c r="B50" s="22" t="s">
        <v>36</v>
      </c>
      <c r="C50" s="32" t="s">
        <v>108</v>
      </c>
      <c r="D50" s="44">
        <v>130040670023448</v>
      </c>
      <c r="E50" s="22" t="s">
        <v>74</v>
      </c>
      <c r="F50" s="22">
        <v>2024</v>
      </c>
      <c r="G50" s="22" t="s">
        <v>283</v>
      </c>
      <c r="H50" s="258" t="s">
        <v>420</v>
      </c>
      <c r="I50" s="262">
        <v>2</v>
      </c>
      <c r="J50" s="259"/>
      <c r="K50" s="259">
        <v>0</v>
      </c>
      <c r="L50" s="259" t="s">
        <v>421</v>
      </c>
      <c r="M50" s="22" t="s">
        <v>297</v>
      </c>
      <c r="N50" s="258">
        <v>45441</v>
      </c>
      <c r="O50" s="290">
        <v>10176.991150442478</v>
      </c>
      <c r="P50" s="22">
        <v>1</v>
      </c>
      <c r="Q50" s="273">
        <v>10176.991150442478</v>
      </c>
      <c r="R50" s="22" t="s">
        <v>316</v>
      </c>
      <c r="S50" s="22" t="s">
        <v>317</v>
      </c>
      <c r="T50" s="22" t="s">
        <v>318</v>
      </c>
      <c r="U50" s="22"/>
    </row>
    <row r="51" spans="1:21" ht="25.5">
      <c r="A51" s="263" t="s">
        <v>130</v>
      </c>
      <c r="B51" s="22" t="s">
        <v>36</v>
      </c>
      <c r="C51" s="32" t="s">
        <v>104</v>
      </c>
      <c r="D51" s="44">
        <v>130040670023445</v>
      </c>
      <c r="E51" s="22" t="s">
        <v>74</v>
      </c>
      <c r="F51" s="22">
        <v>2024</v>
      </c>
      <c r="G51" s="22" t="s">
        <v>285</v>
      </c>
      <c r="H51" s="258" t="s">
        <v>420</v>
      </c>
      <c r="I51" s="262">
        <v>2</v>
      </c>
      <c r="J51" s="259"/>
      <c r="K51" s="259">
        <v>0</v>
      </c>
      <c r="L51" s="259" t="s">
        <v>421</v>
      </c>
      <c r="M51" s="22" t="s">
        <v>297</v>
      </c>
      <c r="N51" s="258">
        <v>45502</v>
      </c>
      <c r="O51" s="290">
        <v>3645.1327433628321</v>
      </c>
      <c r="P51" s="22">
        <v>1</v>
      </c>
      <c r="Q51" s="273">
        <v>3645.1327433628321</v>
      </c>
      <c r="R51" s="22" t="s">
        <v>316</v>
      </c>
      <c r="S51" s="22" t="s">
        <v>317</v>
      </c>
      <c r="T51" s="22" t="s">
        <v>318</v>
      </c>
      <c r="U51" s="22"/>
    </row>
    <row r="52" spans="1:21" ht="25.5">
      <c r="A52" s="276" t="s">
        <v>130</v>
      </c>
      <c r="B52" s="22" t="s">
        <v>36</v>
      </c>
      <c r="C52" s="32" t="s">
        <v>114</v>
      </c>
      <c r="D52" s="44">
        <v>130040670023440</v>
      </c>
      <c r="E52" s="277" t="s">
        <v>74</v>
      </c>
      <c r="F52" s="277">
        <v>2024</v>
      </c>
      <c r="G52" s="277" t="s">
        <v>423</v>
      </c>
      <c r="H52" s="258" t="s">
        <v>420</v>
      </c>
      <c r="I52" s="262">
        <v>2</v>
      </c>
      <c r="J52" s="275"/>
      <c r="K52" s="259">
        <v>0</v>
      </c>
      <c r="L52" s="259" t="s">
        <v>421</v>
      </c>
      <c r="M52" s="22" t="s">
        <v>297</v>
      </c>
      <c r="N52" s="265">
        <v>45561</v>
      </c>
      <c r="O52" s="292">
        <v>6866.3716814159297</v>
      </c>
      <c r="P52" s="279">
        <v>1</v>
      </c>
      <c r="Q52" s="278">
        <v>6866.3716814159297</v>
      </c>
      <c r="R52" s="22" t="s">
        <v>316</v>
      </c>
      <c r="S52" s="22" t="s">
        <v>317</v>
      </c>
      <c r="T52" s="22" t="s">
        <v>318</v>
      </c>
      <c r="U52" s="22"/>
    </row>
    <row r="53" spans="1:21">
      <c r="A53" s="268" t="s">
        <v>346</v>
      </c>
      <c r="B53" s="22" t="s">
        <v>36</v>
      </c>
      <c r="C53" s="269" t="s">
        <v>100</v>
      </c>
      <c r="D53" s="22" t="s">
        <v>75</v>
      </c>
      <c r="E53" s="22" t="s">
        <v>74</v>
      </c>
      <c r="F53" s="22">
        <v>2024</v>
      </c>
      <c r="G53" s="22" t="s">
        <v>282</v>
      </c>
      <c r="H53" s="258" t="s">
        <v>420</v>
      </c>
      <c r="I53" s="262">
        <v>2</v>
      </c>
      <c r="J53" s="275"/>
      <c r="K53" s="259">
        <v>0</v>
      </c>
      <c r="L53" s="259" t="s">
        <v>421</v>
      </c>
      <c r="M53" s="22" t="s">
        <v>296</v>
      </c>
      <c r="N53" s="267">
        <v>45383</v>
      </c>
      <c r="O53" s="270">
        <v>187000</v>
      </c>
      <c r="P53" s="22">
        <v>1</v>
      </c>
      <c r="Q53" s="273">
        <v>187000</v>
      </c>
      <c r="R53" s="22" t="s">
        <v>347</v>
      </c>
      <c r="S53" s="22" t="s">
        <v>317</v>
      </c>
      <c r="T53" s="22" t="s">
        <v>318</v>
      </c>
      <c r="U53" s="22"/>
    </row>
    <row r="54" spans="1:21">
      <c r="A54" s="268" t="s">
        <v>346</v>
      </c>
      <c r="B54" s="22" t="s">
        <v>36</v>
      </c>
      <c r="C54" s="269" t="s">
        <v>112</v>
      </c>
      <c r="D54" s="22" t="s">
        <v>75</v>
      </c>
      <c r="E54" s="22" t="s">
        <v>74</v>
      </c>
      <c r="F54" s="22">
        <v>2024</v>
      </c>
      <c r="G54" s="22" t="s">
        <v>282</v>
      </c>
      <c r="H54" s="258" t="s">
        <v>420</v>
      </c>
      <c r="I54" s="262">
        <v>2</v>
      </c>
      <c r="J54" s="275"/>
      <c r="K54" s="259">
        <v>0</v>
      </c>
      <c r="L54" s="259" t="s">
        <v>421</v>
      </c>
      <c r="M54" s="22" t="s">
        <v>296</v>
      </c>
      <c r="N54" s="267">
        <v>45383</v>
      </c>
      <c r="O54" s="270">
        <v>75000</v>
      </c>
      <c r="P54" s="22">
        <v>1</v>
      </c>
      <c r="Q54" s="273">
        <v>75000</v>
      </c>
      <c r="R54" s="22" t="s">
        <v>347</v>
      </c>
      <c r="S54" s="22" t="s">
        <v>317</v>
      </c>
      <c r="T54" s="22" t="s">
        <v>318</v>
      </c>
      <c r="U54" s="22"/>
    </row>
    <row r="55" spans="1:21" ht="25.5">
      <c r="A55" s="280" t="s">
        <v>130</v>
      </c>
      <c r="B55" s="22" t="s">
        <v>36</v>
      </c>
      <c r="C55" s="32" t="s">
        <v>111</v>
      </c>
      <c r="D55" s="44">
        <v>130040670023442</v>
      </c>
      <c r="E55" s="22" t="s">
        <v>74</v>
      </c>
      <c r="F55" s="22">
        <v>2024</v>
      </c>
      <c r="G55" s="22" t="s">
        <v>280</v>
      </c>
      <c r="H55" s="258" t="s">
        <v>420</v>
      </c>
      <c r="I55" s="262">
        <v>2</v>
      </c>
      <c r="J55" s="275"/>
      <c r="K55" s="259">
        <v>0</v>
      </c>
      <c r="L55" s="259" t="s">
        <v>421</v>
      </c>
      <c r="M55" s="22" t="s">
        <v>297</v>
      </c>
      <c r="N55" s="281">
        <v>45341</v>
      </c>
      <c r="O55" s="288">
        <v>12655</v>
      </c>
      <c r="P55" s="22">
        <v>1</v>
      </c>
      <c r="Q55" s="273">
        <v>12655</v>
      </c>
      <c r="R55" s="22" t="s">
        <v>316</v>
      </c>
      <c r="S55" s="22" t="s">
        <v>317</v>
      </c>
      <c r="T55" s="22" t="s">
        <v>318</v>
      </c>
      <c r="U55" s="22"/>
    </row>
    <row r="56" spans="1:21" ht="25.5">
      <c r="A56" s="286" t="s">
        <v>130</v>
      </c>
      <c r="B56" s="22" t="s">
        <v>36</v>
      </c>
      <c r="C56" s="32" t="s">
        <v>114</v>
      </c>
      <c r="D56" s="44">
        <v>130040670023440</v>
      </c>
      <c r="E56" s="250" t="s">
        <v>74</v>
      </c>
      <c r="F56" s="250">
        <v>2024</v>
      </c>
      <c r="G56" s="250" t="s">
        <v>424</v>
      </c>
      <c r="H56" s="258" t="s">
        <v>420</v>
      </c>
      <c r="I56" s="262">
        <v>48</v>
      </c>
      <c r="J56" s="259">
        <v>2029684.8</v>
      </c>
      <c r="K56" s="259">
        <v>2029684.8</v>
      </c>
      <c r="L56" s="259" t="s">
        <v>422</v>
      </c>
      <c r="M56" s="22" t="s">
        <v>299</v>
      </c>
      <c r="N56" s="271">
        <v>45533</v>
      </c>
      <c r="O56" s="287">
        <v>7759</v>
      </c>
      <c r="P56" s="22">
        <v>1</v>
      </c>
      <c r="Q56" s="273">
        <v>7759</v>
      </c>
      <c r="R56" s="22" t="s">
        <v>316</v>
      </c>
      <c r="S56" s="22" t="s">
        <v>317</v>
      </c>
      <c r="T56" s="22" t="s">
        <v>318</v>
      </c>
      <c r="U56" s="22"/>
    </row>
    <row r="57" spans="1:21">
      <c r="A57" s="272" t="s">
        <v>113</v>
      </c>
      <c r="B57" s="22" t="s">
        <v>36</v>
      </c>
      <c r="C57" s="32" t="s">
        <v>122</v>
      </c>
      <c r="D57" s="44">
        <v>130040670017669</v>
      </c>
      <c r="E57" s="22" t="s">
        <v>74</v>
      </c>
      <c r="F57" s="22">
        <v>2024</v>
      </c>
      <c r="G57" s="22" t="s">
        <v>282</v>
      </c>
      <c r="H57" s="258" t="s">
        <v>420</v>
      </c>
      <c r="I57" s="262">
        <v>48</v>
      </c>
      <c r="J57" s="275"/>
      <c r="K57" s="259">
        <v>0</v>
      </c>
      <c r="L57" s="259" t="s">
        <v>422</v>
      </c>
      <c r="M57" s="22" t="s">
        <v>299</v>
      </c>
      <c r="N57" s="271">
        <v>45392</v>
      </c>
      <c r="O57" s="261">
        <v>6500</v>
      </c>
      <c r="P57" s="22">
        <v>1</v>
      </c>
      <c r="Q57" s="273">
        <v>6500</v>
      </c>
      <c r="R57" s="22" t="s">
        <v>316</v>
      </c>
      <c r="S57" s="22" t="s">
        <v>317</v>
      </c>
      <c r="T57" s="22" t="s">
        <v>318</v>
      </c>
      <c r="U57" s="22"/>
    </row>
    <row r="58" spans="1:21" ht="25.5">
      <c r="A58" s="22" t="s">
        <v>106</v>
      </c>
      <c r="B58" s="22" t="s">
        <v>36</v>
      </c>
      <c r="C58" s="32" t="s">
        <v>100</v>
      </c>
      <c r="D58" s="44">
        <v>130040670018928</v>
      </c>
      <c r="E58" s="22" t="s">
        <v>74</v>
      </c>
      <c r="F58" s="22">
        <v>2024</v>
      </c>
      <c r="G58" s="22" t="s">
        <v>425</v>
      </c>
      <c r="H58" s="258" t="s">
        <v>420</v>
      </c>
      <c r="I58" s="262">
        <v>24</v>
      </c>
      <c r="J58" s="259">
        <v>1067040</v>
      </c>
      <c r="K58" s="259">
        <v>5335200</v>
      </c>
      <c r="L58" s="259" t="s">
        <v>422</v>
      </c>
      <c r="M58" s="22" t="s">
        <v>298</v>
      </c>
      <c r="N58" s="260">
        <v>45322</v>
      </c>
      <c r="O58" s="261">
        <v>840000</v>
      </c>
      <c r="P58" s="22">
        <v>5</v>
      </c>
      <c r="Q58" s="273">
        <v>4200000</v>
      </c>
      <c r="R58" s="22" t="s">
        <v>316</v>
      </c>
      <c r="S58" s="22" t="s">
        <v>317</v>
      </c>
      <c r="T58" s="22" t="s">
        <v>318</v>
      </c>
      <c r="U58" s="22"/>
    </row>
    <row r="59" spans="1:21" ht="25.5">
      <c r="A59" s="22" t="s">
        <v>106</v>
      </c>
      <c r="B59" s="22" t="s">
        <v>36</v>
      </c>
      <c r="C59" s="32" t="s">
        <v>104</v>
      </c>
      <c r="D59" s="44">
        <v>130040670018929</v>
      </c>
      <c r="E59" s="22" t="s">
        <v>74</v>
      </c>
      <c r="F59" s="22">
        <v>2024</v>
      </c>
      <c r="G59" s="22" t="s">
        <v>425</v>
      </c>
      <c r="H59" s="258" t="s">
        <v>420</v>
      </c>
      <c r="I59" s="262">
        <v>48</v>
      </c>
      <c r="J59" s="259">
        <v>2490280</v>
      </c>
      <c r="K59" s="259">
        <v>4980560</v>
      </c>
      <c r="L59" s="259" t="s">
        <v>422</v>
      </c>
      <c r="M59" s="22" t="s">
        <v>298</v>
      </c>
      <c r="N59" s="260">
        <v>45322</v>
      </c>
      <c r="O59" s="261">
        <v>451000</v>
      </c>
      <c r="P59" s="22">
        <v>2</v>
      </c>
      <c r="Q59" s="273">
        <v>902000</v>
      </c>
      <c r="R59" s="22" t="s">
        <v>316</v>
      </c>
      <c r="S59" s="22" t="s">
        <v>317</v>
      </c>
      <c r="T59" s="22" t="s">
        <v>318</v>
      </c>
      <c r="U59" s="22"/>
    </row>
    <row r="60" spans="1:21" ht="25.5">
      <c r="A60" s="22" t="s">
        <v>106</v>
      </c>
      <c r="B60" s="22" t="s">
        <v>36</v>
      </c>
      <c r="C60" s="32" t="s">
        <v>108</v>
      </c>
      <c r="D60" s="44">
        <v>130040670018930</v>
      </c>
      <c r="E60" s="22" t="s">
        <v>74</v>
      </c>
      <c r="F60" s="22">
        <v>2024</v>
      </c>
      <c r="G60" s="22" t="s">
        <v>425</v>
      </c>
      <c r="H60" s="258" t="s">
        <v>420</v>
      </c>
      <c r="I60" s="262">
        <v>48</v>
      </c>
      <c r="J60" s="275">
        <v>2490280</v>
      </c>
      <c r="K60" s="259">
        <v>4980560</v>
      </c>
      <c r="L60" s="259" t="s">
        <v>422</v>
      </c>
      <c r="M60" s="22" t="s">
        <v>298</v>
      </c>
      <c r="N60" s="260">
        <v>45322</v>
      </c>
      <c r="O60" s="261">
        <v>514000</v>
      </c>
      <c r="P60" s="22">
        <v>2</v>
      </c>
      <c r="Q60" s="273">
        <v>1028000</v>
      </c>
      <c r="R60" s="22" t="s">
        <v>316</v>
      </c>
      <c r="S60" s="22" t="s">
        <v>317</v>
      </c>
      <c r="T60" s="22" t="s">
        <v>318</v>
      </c>
      <c r="U60" s="22"/>
    </row>
    <row r="61" spans="1:21">
      <c r="A61" s="22" t="s">
        <v>106</v>
      </c>
      <c r="B61" s="22" t="s">
        <v>36</v>
      </c>
      <c r="C61" s="32" t="s">
        <v>109</v>
      </c>
      <c r="D61" s="44">
        <v>130040670027765</v>
      </c>
      <c r="E61" s="22" t="s">
        <v>74</v>
      </c>
      <c r="F61" s="22">
        <v>2024</v>
      </c>
      <c r="G61" s="22" t="s">
        <v>425</v>
      </c>
      <c r="H61" s="258" t="s">
        <v>420</v>
      </c>
      <c r="I61" s="262">
        <v>48</v>
      </c>
      <c r="J61" s="275">
        <v>2574566</v>
      </c>
      <c r="K61" s="259">
        <v>10298264</v>
      </c>
      <c r="L61" s="259" t="s">
        <v>422</v>
      </c>
      <c r="M61" s="22" t="s">
        <v>298</v>
      </c>
      <c r="N61" s="260">
        <v>45322</v>
      </c>
      <c r="O61" s="261">
        <v>380000</v>
      </c>
      <c r="P61" s="22">
        <v>4</v>
      </c>
      <c r="Q61" s="273">
        <v>1520000</v>
      </c>
      <c r="R61" s="22" t="s">
        <v>316</v>
      </c>
      <c r="S61" s="22" t="s">
        <v>317</v>
      </c>
      <c r="T61" s="22" t="s">
        <v>318</v>
      </c>
      <c r="U61" s="22"/>
    </row>
    <row r="62" spans="1:21" ht="25.5">
      <c r="A62" s="22" t="s">
        <v>106</v>
      </c>
      <c r="B62" s="22" t="s">
        <v>36</v>
      </c>
      <c r="C62" s="32" t="s">
        <v>111</v>
      </c>
      <c r="D62" s="44">
        <v>130040670018919</v>
      </c>
      <c r="E62" s="22" t="s">
        <v>74</v>
      </c>
      <c r="F62" s="22">
        <v>2024</v>
      </c>
      <c r="G62" s="22" t="s">
        <v>425</v>
      </c>
      <c r="H62" s="258" t="s">
        <v>420</v>
      </c>
      <c r="I62" s="262">
        <v>48</v>
      </c>
      <c r="J62" s="259">
        <v>1969920</v>
      </c>
      <c r="K62" s="259">
        <v>3939840</v>
      </c>
      <c r="L62" s="259" t="s">
        <v>422</v>
      </c>
      <c r="M62" s="22" t="s">
        <v>298</v>
      </c>
      <c r="N62" s="260">
        <v>45322</v>
      </c>
      <c r="O62" s="261">
        <v>850000</v>
      </c>
      <c r="P62" s="22">
        <v>2</v>
      </c>
      <c r="Q62" s="273">
        <v>1700000</v>
      </c>
      <c r="R62" s="22" t="s">
        <v>316</v>
      </c>
      <c r="S62" s="22" t="s">
        <v>317</v>
      </c>
      <c r="T62" s="22" t="s">
        <v>318</v>
      </c>
      <c r="U62" s="22"/>
    </row>
    <row r="63" spans="1:21">
      <c r="A63" s="22" t="s">
        <v>106</v>
      </c>
      <c r="B63" s="22" t="s">
        <v>36</v>
      </c>
      <c r="C63" s="32" t="s">
        <v>112</v>
      </c>
      <c r="D63" s="44">
        <v>130040670018925</v>
      </c>
      <c r="E63" s="22" t="s">
        <v>74</v>
      </c>
      <c r="F63" s="22">
        <v>2024</v>
      </c>
      <c r="G63" s="22" t="s">
        <v>425</v>
      </c>
      <c r="H63" s="258" t="s">
        <v>420</v>
      </c>
      <c r="I63" s="262">
        <v>48</v>
      </c>
      <c r="J63" s="275">
        <v>2817880</v>
      </c>
      <c r="K63" s="259">
        <v>5635760</v>
      </c>
      <c r="L63" s="259" t="s">
        <v>422</v>
      </c>
      <c r="M63" s="22" t="s">
        <v>298</v>
      </c>
      <c r="N63" s="260">
        <v>45322</v>
      </c>
      <c r="O63" s="261">
        <v>257000</v>
      </c>
      <c r="P63" s="22">
        <v>2</v>
      </c>
      <c r="Q63" s="273">
        <v>514000</v>
      </c>
      <c r="R63" s="22" t="s">
        <v>316</v>
      </c>
      <c r="S63" s="22" t="s">
        <v>317</v>
      </c>
      <c r="T63" s="22" t="s">
        <v>318</v>
      </c>
      <c r="U63" s="22"/>
    </row>
    <row r="64" spans="1:21" ht="25.5">
      <c r="A64" s="22" t="s">
        <v>113</v>
      </c>
      <c r="B64" s="22" t="s">
        <v>36</v>
      </c>
      <c r="C64" s="32" t="s">
        <v>114</v>
      </c>
      <c r="D64" s="44">
        <v>130040670023899</v>
      </c>
      <c r="E64" s="22" t="s">
        <v>74</v>
      </c>
      <c r="F64" s="22">
        <v>2024</v>
      </c>
      <c r="G64" s="22" t="s">
        <v>425</v>
      </c>
      <c r="H64" s="258" t="s">
        <v>420</v>
      </c>
      <c r="I64" s="262">
        <v>48</v>
      </c>
      <c r="J64" s="275">
        <v>2008545.6</v>
      </c>
      <c r="K64" s="259">
        <v>2008545.6</v>
      </c>
      <c r="L64" s="259" t="s">
        <v>422</v>
      </c>
      <c r="M64" s="22" t="s">
        <v>298</v>
      </c>
      <c r="N64" s="260">
        <v>45322</v>
      </c>
      <c r="O64" s="261">
        <v>1100000</v>
      </c>
      <c r="P64" s="22">
        <v>1</v>
      </c>
      <c r="Q64" s="273">
        <v>1100000</v>
      </c>
      <c r="R64" s="22" t="s">
        <v>316</v>
      </c>
      <c r="S64" s="22" t="s">
        <v>317</v>
      </c>
      <c r="T64" s="22" t="s">
        <v>318</v>
      </c>
      <c r="U64" s="22"/>
    </row>
    <row r="65" spans="1:21" ht="25.5">
      <c r="A65" s="22" t="s">
        <v>113</v>
      </c>
      <c r="B65" s="22" t="s">
        <v>36</v>
      </c>
      <c r="C65" s="32" t="s">
        <v>111</v>
      </c>
      <c r="D65" s="44">
        <v>130040670023900</v>
      </c>
      <c r="E65" s="22" t="s">
        <v>74</v>
      </c>
      <c r="F65" s="22">
        <v>2024</v>
      </c>
      <c r="G65" s="22" t="s">
        <v>425</v>
      </c>
      <c r="H65" s="258" t="s">
        <v>420</v>
      </c>
      <c r="I65" s="262">
        <v>48</v>
      </c>
      <c r="J65" s="259">
        <v>1969920</v>
      </c>
      <c r="K65" s="259">
        <v>1969920</v>
      </c>
      <c r="L65" s="259" t="s">
        <v>422</v>
      </c>
      <c r="M65" s="22" t="s">
        <v>298</v>
      </c>
      <c r="N65" s="260">
        <v>45322</v>
      </c>
      <c r="O65" s="261">
        <v>999000</v>
      </c>
      <c r="P65" s="22">
        <v>1</v>
      </c>
      <c r="Q65" s="273">
        <v>999000</v>
      </c>
      <c r="R65" s="22" t="s">
        <v>316</v>
      </c>
      <c r="S65" s="22" t="s">
        <v>317</v>
      </c>
      <c r="T65" s="22" t="s">
        <v>318</v>
      </c>
      <c r="U65" s="22"/>
    </row>
    <row r="66" spans="1:21" ht="25.5">
      <c r="A66" s="22" t="s">
        <v>113</v>
      </c>
      <c r="B66" s="22" t="s">
        <v>36</v>
      </c>
      <c r="C66" s="32" t="s">
        <v>116</v>
      </c>
      <c r="D66" s="44">
        <v>130040670023906</v>
      </c>
      <c r="E66" s="22" t="s">
        <v>74</v>
      </c>
      <c r="F66" s="22">
        <v>2024</v>
      </c>
      <c r="G66" s="22" t="s">
        <v>425</v>
      </c>
      <c r="H66" s="258" t="s">
        <v>420</v>
      </c>
      <c r="I66" s="262">
        <v>48</v>
      </c>
      <c r="J66" s="275">
        <v>2609152</v>
      </c>
      <c r="K66" s="259">
        <v>2609152</v>
      </c>
      <c r="L66" s="259" t="s">
        <v>422</v>
      </c>
      <c r="M66" s="22" t="s">
        <v>298</v>
      </c>
      <c r="N66" s="260">
        <v>45322</v>
      </c>
      <c r="O66" s="261">
        <v>355000</v>
      </c>
      <c r="P66" s="22">
        <v>1</v>
      </c>
      <c r="Q66" s="273">
        <v>355000</v>
      </c>
      <c r="R66" s="22" t="s">
        <v>316</v>
      </c>
      <c r="S66" s="22" t="s">
        <v>317</v>
      </c>
      <c r="T66" s="22" t="s">
        <v>318</v>
      </c>
      <c r="U66" s="22"/>
    </row>
    <row r="67" spans="1:21" ht="25.5">
      <c r="A67" s="22" t="s">
        <v>113</v>
      </c>
      <c r="B67" s="22" t="s">
        <v>36</v>
      </c>
      <c r="C67" s="32" t="s">
        <v>119</v>
      </c>
      <c r="D67" s="44">
        <v>130040670039455</v>
      </c>
      <c r="E67" s="22" t="s">
        <v>74</v>
      </c>
      <c r="F67" s="22">
        <v>2024</v>
      </c>
      <c r="G67" s="22" t="s">
        <v>425</v>
      </c>
      <c r="H67" s="258" t="s">
        <v>420</v>
      </c>
      <c r="I67" s="262">
        <v>48</v>
      </c>
      <c r="J67" s="275">
        <v>2515968</v>
      </c>
      <c r="K67" s="259">
        <v>5031936</v>
      </c>
      <c r="L67" s="259" t="s">
        <v>422</v>
      </c>
      <c r="M67" s="22" t="s">
        <v>298</v>
      </c>
      <c r="N67" s="260">
        <v>45322</v>
      </c>
      <c r="O67" s="261">
        <v>510000</v>
      </c>
      <c r="P67" s="22">
        <v>2</v>
      </c>
      <c r="Q67" s="273">
        <v>1020000</v>
      </c>
      <c r="R67" s="22" t="s">
        <v>316</v>
      </c>
      <c r="S67" s="22" t="s">
        <v>317</v>
      </c>
      <c r="T67" s="22" t="s">
        <v>318</v>
      </c>
      <c r="U67" s="22"/>
    </row>
    <row r="68" spans="1:21" ht="38.25">
      <c r="A68" s="22" t="s">
        <v>113</v>
      </c>
      <c r="B68" s="22" t="s">
        <v>36</v>
      </c>
      <c r="C68" s="32" t="s">
        <v>121</v>
      </c>
      <c r="D68" s="44">
        <v>130040670039442</v>
      </c>
      <c r="E68" s="22" t="s">
        <v>74</v>
      </c>
      <c r="F68" s="22">
        <v>2024</v>
      </c>
      <c r="G68" s="22" t="s">
        <v>425</v>
      </c>
      <c r="H68" s="258" t="s">
        <v>420</v>
      </c>
      <c r="I68" s="262">
        <v>48</v>
      </c>
      <c r="J68" s="275">
        <v>2515968</v>
      </c>
      <c r="K68" s="259">
        <v>5031936</v>
      </c>
      <c r="L68" s="259" t="s">
        <v>422</v>
      </c>
      <c r="M68" s="22" t="s">
        <v>298</v>
      </c>
      <c r="N68" s="260">
        <v>45322</v>
      </c>
      <c r="O68" s="261">
        <v>510000</v>
      </c>
      <c r="P68" s="22">
        <v>2</v>
      </c>
      <c r="Q68" s="273">
        <v>1020000</v>
      </c>
      <c r="R68" s="22" t="s">
        <v>316</v>
      </c>
      <c r="S68" s="22" t="s">
        <v>317</v>
      </c>
      <c r="T68" s="22" t="s">
        <v>318</v>
      </c>
      <c r="U68" s="22"/>
    </row>
    <row r="69" spans="1:21">
      <c r="A69" s="22" t="s">
        <v>113</v>
      </c>
      <c r="B69" s="22" t="s">
        <v>36</v>
      </c>
      <c r="C69" s="32" t="s">
        <v>122</v>
      </c>
      <c r="D69" s="44">
        <v>130040670017669</v>
      </c>
      <c r="E69" s="22" t="s">
        <v>74</v>
      </c>
      <c r="F69" s="22">
        <v>2024</v>
      </c>
      <c r="G69" s="22" t="s">
        <v>425</v>
      </c>
      <c r="H69" s="258" t="s">
        <v>420</v>
      </c>
      <c r="I69" s="262">
        <v>48</v>
      </c>
      <c r="J69" s="275">
        <v>2709491</v>
      </c>
      <c r="K69" s="259">
        <v>5418982</v>
      </c>
      <c r="L69" s="259" t="s">
        <v>422</v>
      </c>
      <c r="M69" s="22" t="s">
        <v>298</v>
      </c>
      <c r="N69" s="260">
        <v>45322</v>
      </c>
      <c r="O69" s="261">
        <v>380000</v>
      </c>
      <c r="P69" s="22">
        <v>2</v>
      </c>
      <c r="Q69" s="273">
        <v>760000</v>
      </c>
      <c r="R69" s="22" t="s">
        <v>316</v>
      </c>
      <c r="S69" s="22" t="s">
        <v>317</v>
      </c>
      <c r="T69" s="22" t="s">
        <v>318</v>
      </c>
      <c r="U69" s="22"/>
    </row>
    <row r="70" spans="1:21" ht="25.5">
      <c r="A70" s="22" t="s">
        <v>124</v>
      </c>
      <c r="B70" s="22" t="s">
        <v>36</v>
      </c>
      <c r="C70" s="32" t="s">
        <v>100</v>
      </c>
      <c r="D70" s="44">
        <v>130040670021245</v>
      </c>
      <c r="E70" s="22" t="s">
        <v>74</v>
      </c>
      <c r="F70" s="22">
        <v>2024</v>
      </c>
      <c r="G70" s="22" t="s">
        <v>425</v>
      </c>
      <c r="H70" s="258" t="s">
        <v>420</v>
      </c>
      <c r="I70" s="262">
        <v>32</v>
      </c>
      <c r="J70" s="275">
        <v>1517568</v>
      </c>
      <c r="K70" s="259">
        <v>7587840</v>
      </c>
      <c r="L70" s="259" t="s">
        <v>422</v>
      </c>
      <c r="M70" s="22" t="s">
        <v>298</v>
      </c>
      <c r="N70" s="260">
        <v>45322</v>
      </c>
      <c r="O70" s="261">
        <v>630000</v>
      </c>
      <c r="P70" s="22">
        <v>5</v>
      </c>
      <c r="Q70" s="273">
        <v>3150000</v>
      </c>
      <c r="R70" s="22" t="s">
        <v>316</v>
      </c>
      <c r="S70" s="22" t="s">
        <v>317</v>
      </c>
      <c r="T70" s="22" t="s">
        <v>318</v>
      </c>
      <c r="U70" s="22"/>
    </row>
    <row r="71" spans="1:21" ht="25.5">
      <c r="A71" s="22" t="s">
        <v>124</v>
      </c>
      <c r="B71" s="22" t="s">
        <v>36</v>
      </c>
      <c r="C71" s="32" t="s">
        <v>104</v>
      </c>
      <c r="D71" s="44">
        <v>130040670021246</v>
      </c>
      <c r="E71" s="22" t="s">
        <v>74</v>
      </c>
      <c r="F71" s="22">
        <v>2024</v>
      </c>
      <c r="G71" s="22" t="s">
        <v>425</v>
      </c>
      <c r="H71" s="258" t="s">
        <v>420</v>
      </c>
      <c r="I71" s="262">
        <v>48</v>
      </c>
      <c r="J71" s="259">
        <v>2737152</v>
      </c>
      <c r="K71" s="259">
        <v>8211456</v>
      </c>
      <c r="L71" s="259" t="s">
        <v>422</v>
      </c>
      <c r="M71" s="22" t="s">
        <v>298</v>
      </c>
      <c r="N71" s="260">
        <v>45322</v>
      </c>
      <c r="O71" s="261">
        <v>450000</v>
      </c>
      <c r="P71" s="22">
        <v>3</v>
      </c>
      <c r="Q71" s="273">
        <v>1350000</v>
      </c>
      <c r="R71" s="22" t="s">
        <v>316</v>
      </c>
      <c r="S71" s="22" t="s">
        <v>317</v>
      </c>
      <c r="T71" s="22" t="s">
        <v>318</v>
      </c>
      <c r="U71" s="22"/>
    </row>
    <row r="72" spans="1:21" ht="25.5">
      <c r="A72" s="22" t="s">
        <v>124</v>
      </c>
      <c r="B72" s="22" t="s">
        <v>36</v>
      </c>
      <c r="C72" s="32" t="s">
        <v>108</v>
      </c>
      <c r="D72" s="44">
        <v>130040670026558</v>
      </c>
      <c r="E72" s="22" t="s">
        <v>74</v>
      </c>
      <c r="F72" s="22">
        <v>2024</v>
      </c>
      <c r="G72" s="22" t="s">
        <v>425</v>
      </c>
      <c r="H72" s="258" t="s">
        <v>420</v>
      </c>
      <c r="I72" s="262">
        <v>48</v>
      </c>
      <c r="J72" s="275">
        <v>2635776</v>
      </c>
      <c r="K72" s="259">
        <v>7907328</v>
      </c>
      <c r="L72" s="259" t="s">
        <v>422</v>
      </c>
      <c r="M72" s="22" t="s">
        <v>298</v>
      </c>
      <c r="N72" s="260">
        <v>45322</v>
      </c>
      <c r="O72" s="261">
        <v>510000</v>
      </c>
      <c r="P72" s="22">
        <v>3</v>
      </c>
      <c r="Q72" s="273">
        <v>1530000</v>
      </c>
      <c r="R72" s="22" t="s">
        <v>316</v>
      </c>
      <c r="S72" s="22" t="s">
        <v>317</v>
      </c>
      <c r="T72" s="22" t="s">
        <v>318</v>
      </c>
      <c r="U72" s="22"/>
    </row>
    <row r="73" spans="1:21" ht="25.5">
      <c r="A73" s="22" t="s">
        <v>124</v>
      </c>
      <c r="B73" s="22" t="s">
        <v>36</v>
      </c>
      <c r="C73" s="32" t="s">
        <v>126</v>
      </c>
      <c r="D73" s="44">
        <v>130040670021244</v>
      </c>
      <c r="E73" s="22" t="s">
        <v>74</v>
      </c>
      <c r="F73" s="22">
        <v>2024</v>
      </c>
      <c r="G73" s="22" t="s">
        <v>425</v>
      </c>
      <c r="H73" s="258" t="s">
        <v>420</v>
      </c>
      <c r="I73" s="262">
        <v>48</v>
      </c>
      <c r="J73" s="275">
        <v>2324275.2000000002</v>
      </c>
      <c r="K73" s="259">
        <v>4648550.4000000004</v>
      </c>
      <c r="L73" s="259" t="s">
        <v>422</v>
      </c>
      <c r="M73" s="22" t="s">
        <v>298</v>
      </c>
      <c r="N73" s="260">
        <v>45322</v>
      </c>
      <c r="O73" s="261">
        <v>630000</v>
      </c>
      <c r="P73" s="22">
        <v>2</v>
      </c>
      <c r="Q73" s="273">
        <v>1260000</v>
      </c>
      <c r="R73" s="22" t="s">
        <v>316</v>
      </c>
      <c r="S73" s="22" t="s">
        <v>317</v>
      </c>
      <c r="T73" s="22" t="s">
        <v>318</v>
      </c>
      <c r="U73" s="22"/>
    </row>
    <row r="74" spans="1:21" ht="25.5">
      <c r="A74" s="22" t="s">
        <v>127</v>
      </c>
      <c r="B74" s="22" t="s">
        <v>36</v>
      </c>
      <c r="C74" s="32" t="s">
        <v>111</v>
      </c>
      <c r="D74" s="44">
        <v>130040670017656</v>
      </c>
      <c r="E74" s="22" t="s">
        <v>74</v>
      </c>
      <c r="F74" s="22">
        <v>2024</v>
      </c>
      <c r="G74" s="22" t="s">
        <v>425</v>
      </c>
      <c r="H74" s="258" t="s">
        <v>420</v>
      </c>
      <c r="I74" s="262">
        <v>48</v>
      </c>
      <c r="J74" s="275">
        <v>2324275.2000000002</v>
      </c>
      <c r="K74" s="259">
        <v>2324275.2000000002</v>
      </c>
      <c r="L74" s="259" t="s">
        <v>422</v>
      </c>
      <c r="M74" s="22" t="s">
        <v>298</v>
      </c>
      <c r="N74" s="260">
        <v>45322</v>
      </c>
      <c r="O74" s="261">
        <v>525000</v>
      </c>
      <c r="P74" s="22">
        <v>1</v>
      </c>
      <c r="Q74" s="273">
        <v>525000</v>
      </c>
      <c r="R74" s="22" t="s">
        <v>316</v>
      </c>
      <c r="S74" s="22" t="s">
        <v>317</v>
      </c>
      <c r="T74" s="22" t="s">
        <v>318</v>
      </c>
      <c r="U74" s="22"/>
    </row>
    <row r="75" spans="1:21" ht="25.5">
      <c r="A75" s="22" t="s">
        <v>127</v>
      </c>
      <c r="B75" s="22" t="s">
        <v>36</v>
      </c>
      <c r="C75" s="32" t="s">
        <v>114</v>
      </c>
      <c r="D75" s="44">
        <v>130040670017662</v>
      </c>
      <c r="E75" s="22" t="s">
        <v>74</v>
      </c>
      <c r="F75" s="22">
        <v>2024</v>
      </c>
      <c r="G75" s="22" t="s">
        <v>425</v>
      </c>
      <c r="H75" s="258" t="s">
        <v>420</v>
      </c>
      <c r="I75" s="262">
        <v>48</v>
      </c>
      <c r="J75" s="275">
        <v>2709491.2</v>
      </c>
      <c r="K75" s="259">
        <v>2709491.2</v>
      </c>
      <c r="L75" s="259" t="s">
        <v>422</v>
      </c>
      <c r="M75" s="22" t="s">
        <v>298</v>
      </c>
      <c r="N75" s="260">
        <v>45322</v>
      </c>
      <c r="O75" s="261">
        <v>589000</v>
      </c>
      <c r="P75" s="22">
        <v>1</v>
      </c>
      <c r="Q75" s="273">
        <v>589000</v>
      </c>
      <c r="R75" s="22" t="s">
        <v>316</v>
      </c>
      <c r="S75" s="22" t="s">
        <v>317</v>
      </c>
      <c r="T75" s="22" t="s">
        <v>318</v>
      </c>
      <c r="U75" s="22"/>
    </row>
    <row r="76" spans="1:21" ht="38.25">
      <c r="A76" s="22" t="s">
        <v>127</v>
      </c>
      <c r="B76" s="22" t="s">
        <v>36</v>
      </c>
      <c r="C76" s="32" t="s">
        <v>129</v>
      </c>
      <c r="D76" s="44">
        <v>130040670017658</v>
      </c>
      <c r="E76" s="22" t="s">
        <v>74</v>
      </c>
      <c r="F76" s="22">
        <v>2024</v>
      </c>
      <c r="G76" s="22" t="s">
        <v>425</v>
      </c>
      <c r="H76" s="258" t="s">
        <v>420</v>
      </c>
      <c r="I76" s="262">
        <v>48</v>
      </c>
      <c r="J76" s="275">
        <v>2709491.2</v>
      </c>
      <c r="K76" s="259">
        <v>2709491.2</v>
      </c>
      <c r="L76" s="259" t="s">
        <v>422</v>
      </c>
      <c r="M76" s="22" t="s">
        <v>298</v>
      </c>
      <c r="N76" s="260">
        <v>45322</v>
      </c>
      <c r="O76" s="261">
        <v>325000</v>
      </c>
      <c r="P76" s="22">
        <v>1</v>
      </c>
      <c r="Q76" s="273">
        <v>325000</v>
      </c>
      <c r="R76" s="22" t="s">
        <v>316</v>
      </c>
      <c r="S76" s="22" t="s">
        <v>317</v>
      </c>
      <c r="T76" s="22" t="s">
        <v>318</v>
      </c>
      <c r="U76" s="22"/>
    </row>
    <row r="77" spans="1:21" ht="25.5">
      <c r="A77" s="22" t="s">
        <v>130</v>
      </c>
      <c r="B77" s="22" t="s">
        <v>36</v>
      </c>
      <c r="C77" s="32" t="s">
        <v>100</v>
      </c>
      <c r="D77" s="44">
        <v>130040670023444</v>
      </c>
      <c r="E77" s="22" t="s">
        <v>74</v>
      </c>
      <c r="F77" s="22">
        <v>2024</v>
      </c>
      <c r="G77" s="22" t="s">
        <v>425</v>
      </c>
      <c r="H77" s="258" t="s">
        <v>420</v>
      </c>
      <c r="I77" s="262">
        <v>24</v>
      </c>
      <c r="J77" s="275">
        <v>922833.60000000009</v>
      </c>
      <c r="K77" s="259">
        <v>1845667.2000000002</v>
      </c>
      <c r="L77" s="259" t="s">
        <v>422</v>
      </c>
      <c r="M77" s="22" t="s">
        <v>298</v>
      </c>
      <c r="N77" s="260">
        <v>45322</v>
      </c>
      <c r="O77" s="261">
        <v>990000</v>
      </c>
      <c r="P77" s="22">
        <v>2</v>
      </c>
      <c r="Q77" s="273">
        <v>1980000</v>
      </c>
      <c r="R77" s="22" t="s">
        <v>316</v>
      </c>
      <c r="S77" s="22" t="s">
        <v>317</v>
      </c>
      <c r="T77" s="22" t="s">
        <v>318</v>
      </c>
      <c r="U77" s="22"/>
    </row>
    <row r="78" spans="1:21" ht="25.5">
      <c r="A78" s="22" t="s">
        <v>130</v>
      </c>
      <c r="B78" s="22" t="s">
        <v>36</v>
      </c>
      <c r="C78" s="32" t="s">
        <v>104</v>
      </c>
      <c r="D78" s="44">
        <v>130040670023445</v>
      </c>
      <c r="E78" s="22" t="s">
        <v>74</v>
      </c>
      <c r="F78" s="22">
        <v>2024</v>
      </c>
      <c r="G78" s="22" t="s">
        <v>425</v>
      </c>
      <c r="H78" s="258" t="s">
        <v>420</v>
      </c>
      <c r="I78" s="262">
        <v>48</v>
      </c>
      <c r="J78" s="275">
        <v>2404417.6</v>
      </c>
      <c r="K78" s="259">
        <v>2404417.6</v>
      </c>
      <c r="L78" s="259" t="s">
        <v>422</v>
      </c>
      <c r="M78" s="22" t="s">
        <v>298</v>
      </c>
      <c r="N78" s="260">
        <v>45322</v>
      </c>
      <c r="O78" s="261">
        <v>570000</v>
      </c>
      <c r="P78" s="22">
        <v>1</v>
      </c>
      <c r="Q78" s="273">
        <v>570000</v>
      </c>
      <c r="R78" s="22" t="s">
        <v>316</v>
      </c>
      <c r="S78" s="22" t="s">
        <v>317</v>
      </c>
      <c r="T78" s="22" t="s">
        <v>318</v>
      </c>
      <c r="U78" s="22"/>
    </row>
    <row r="79" spans="1:21" ht="25.5">
      <c r="A79" s="22" t="s">
        <v>130</v>
      </c>
      <c r="B79" s="22" t="s">
        <v>36</v>
      </c>
      <c r="C79" s="32" t="s">
        <v>108</v>
      </c>
      <c r="D79" s="44">
        <v>130040670023448</v>
      </c>
      <c r="E79" s="22" t="s">
        <v>74</v>
      </c>
      <c r="F79" s="22">
        <v>2024</v>
      </c>
      <c r="G79" s="22" t="s">
        <v>425</v>
      </c>
      <c r="H79" s="258" t="s">
        <v>420</v>
      </c>
      <c r="I79" s="262">
        <v>48</v>
      </c>
      <c r="J79" s="275">
        <v>2404417.6</v>
      </c>
      <c r="K79" s="259">
        <v>2404417.6</v>
      </c>
      <c r="L79" s="259" t="s">
        <v>422</v>
      </c>
      <c r="M79" s="22" t="s">
        <v>298</v>
      </c>
      <c r="N79" s="260">
        <v>45322</v>
      </c>
      <c r="O79" s="261">
        <v>615000</v>
      </c>
      <c r="P79" s="22">
        <v>1</v>
      </c>
      <c r="Q79" s="273">
        <v>615000</v>
      </c>
      <c r="R79" s="22" t="s">
        <v>316</v>
      </c>
      <c r="S79" s="22" t="s">
        <v>317</v>
      </c>
      <c r="T79" s="22" t="s">
        <v>318</v>
      </c>
      <c r="U79" s="22"/>
    </row>
    <row r="80" spans="1:21" ht="25.5">
      <c r="A80" s="22" t="s">
        <v>130</v>
      </c>
      <c r="B80" s="22" t="s">
        <v>36</v>
      </c>
      <c r="C80" s="32" t="s">
        <v>114</v>
      </c>
      <c r="D80" s="44">
        <v>130040670023440</v>
      </c>
      <c r="E80" s="22" t="s">
        <v>74</v>
      </c>
      <c r="F80" s="22">
        <v>2024</v>
      </c>
      <c r="G80" s="22" t="s">
        <v>425</v>
      </c>
      <c r="H80" s="258" t="s">
        <v>420</v>
      </c>
      <c r="I80" s="262">
        <v>48</v>
      </c>
      <c r="J80" s="259">
        <v>2029684.8</v>
      </c>
      <c r="K80" s="259">
        <v>2029684.8</v>
      </c>
      <c r="L80" s="259" t="s">
        <v>422</v>
      </c>
      <c r="M80" s="22" t="s">
        <v>298</v>
      </c>
      <c r="N80" s="260">
        <v>45322</v>
      </c>
      <c r="O80" s="261">
        <v>1100000</v>
      </c>
      <c r="P80" s="22">
        <v>1</v>
      </c>
      <c r="Q80" s="273">
        <v>1100000</v>
      </c>
      <c r="R80" s="22" t="s">
        <v>316</v>
      </c>
      <c r="S80" s="22" t="s">
        <v>317</v>
      </c>
      <c r="T80" s="22" t="s">
        <v>318</v>
      </c>
      <c r="U80" s="22"/>
    </row>
    <row r="81" spans="1:21" ht="25.5">
      <c r="A81" s="22" t="s">
        <v>130</v>
      </c>
      <c r="B81" s="22" t="s">
        <v>36</v>
      </c>
      <c r="C81" s="32" t="s">
        <v>111</v>
      </c>
      <c r="D81" s="44">
        <v>130040670023442</v>
      </c>
      <c r="E81" s="22" t="s">
        <v>74</v>
      </c>
      <c r="F81" s="22">
        <v>2024</v>
      </c>
      <c r="G81" s="22" t="s">
        <v>425</v>
      </c>
      <c r="H81" s="258" t="s">
        <v>420</v>
      </c>
      <c r="I81" s="262">
        <v>48</v>
      </c>
      <c r="J81" s="275">
        <v>2134080</v>
      </c>
      <c r="K81" s="259">
        <v>2134080</v>
      </c>
      <c r="L81" s="259" t="s">
        <v>422</v>
      </c>
      <c r="M81" s="22" t="s">
        <v>298</v>
      </c>
      <c r="N81" s="260">
        <v>45322</v>
      </c>
      <c r="O81" s="261">
        <v>999000</v>
      </c>
      <c r="P81" s="22">
        <v>1</v>
      </c>
      <c r="Q81" s="273">
        <v>999000</v>
      </c>
      <c r="R81" s="22" t="s">
        <v>316</v>
      </c>
      <c r="S81" s="22" t="s">
        <v>317</v>
      </c>
      <c r="T81" s="22" t="s">
        <v>318</v>
      </c>
      <c r="U81" s="22"/>
    </row>
    <row r="82" spans="1:21" ht="25.5">
      <c r="A82" s="22" t="s">
        <v>130</v>
      </c>
      <c r="B82" s="22" t="s">
        <v>36</v>
      </c>
      <c r="C82" s="32" t="s">
        <v>132</v>
      </c>
      <c r="D82" s="44">
        <v>130040670024534</v>
      </c>
      <c r="E82" s="22" t="s">
        <v>74</v>
      </c>
      <c r="F82" s="22">
        <v>2024</v>
      </c>
      <c r="G82" s="22" t="s">
        <v>425</v>
      </c>
      <c r="H82" s="258" t="s">
        <v>420</v>
      </c>
      <c r="I82" s="262">
        <v>48</v>
      </c>
      <c r="J82" s="259">
        <v>2935296</v>
      </c>
      <c r="K82" s="259">
        <v>2935296</v>
      </c>
      <c r="L82" s="259" t="s">
        <v>422</v>
      </c>
      <c r="M82" s="22" t="s">
        <v>298</v>
      </c>
      <c r="N82" s="260">
        <v>45322</v>
      </c>
      <c r="O82" s="261">
        <v>345000</v>
      </c>
      <c r="P82" s="22">
        <v>1</v>
      </c>
      <c r="Q82" s="273">
        <v>345000</v>
      </c>
      <c r="R82" s="22" t="s">
        <v>316</v>
      </c>
      <c r="S82" s="22" t="s">
        <v>317</v>
      </c>
      <c r="T82" s="22" t="s">
        <v>318</v>
      </c>
      <c r="U82" s="22"/>
    </row>
    <row r="83" spans="1:21" ht="25.5">
      <c r="A83" s="22" t="s">
        <v>130</v>
      </c>
      <c r="B83" s="22" t="s">
        <v>36</v>
      </c>
      <c r="C83" s="32" t="s">
        <v>133</v>
      </c>
      <c r="D83" s="44">
        <v>130040670023443</v>
      </c>
      <c r="E83" s="22" t="s">
        <v>74</v>
      </c>
      <c r="F83" s="22">
        <v>2024</v>
      </c>
      <c r="G83" s="22" t="s">
        <v>425</v>
      </c>
      <c r="H83" s="258" t="s">
        <v>420</v>
      </c>
      <c r="I83" s="262">
        <v>48</v>
      </c>
      <c r="J83" s="275">
        <v>2817880</v>
      </c>
      <c r="K83" s="259">
        <v>2817880</v>
      </c>
      <c r="L83" s="259" t="s">
        <v>422</v>
      </c>
      <c r="M83" s="22" t="s">
        <v>298</v>
      </c>
      <c r="N83" s="260">
        <v>45322</v>
      </c>
      <c r="O83" s="261">
        <v>315000</v>
      </c>
      <c r="P83" s="22">
        <v>1</v>
      </c>
      <c r="Q83" s="273">
        <v>315000</v>
      </c>
      <c r="R83" s="22" t="s">
        <v>316</v>
      </c>
      <c r="S83" s="22" t="s">
        <v>317</v>
      </c>
      <c r="T83" s="22" t="s">
        <v>318</v>
      </c>
      <c r="U83" s="22"/>
    </row>
    <row r="84" spans="1:21" ht="25.5">
      <c r="A84" s="22" t="s">
        <v>130</v>
      </c>
      <c r="B84" s="22" t="s">
        <v>36</v>
      </c>
      <c r="C84" s="32" t="s">
        <v>111</v>
      </c>
      <c r="D84" s="44">
        <v>130040670023442</v>
      </c>
      <c r="E84" s="22" t="s">
        <v>74</v>
      </c>
      <c r="F84" s="22">
        <v>2024</v>
      </c>
      <c r="G84" s="22" t="s">
        <v>426</v>
      </c>
      <c r="H84" s="258" t="s">
        <v>420</v>
      </c>
      <c r="I84" s="262">
        <v>2</v>
      </c>
      <c r="J84" s="275"/>
      <c r="K84" s="259">
        <v>0</v>
      </c>
      <c r="L84" s="259" t="s">
        <v>421</v>
      </c>
      <c r="M84" s="22" t="s">
        <v>297</v>
      </c>
      <c r="N84" s="267">
        <v>45341</v>
      </c>
      <c r="O84" s="289">
        <v>12655</v>
      </c>
      <c r="P84" s="22">
        <v>1</v>
      </c>
      <c r="Q84" s="273">
        <v>12655</v>
      </c>
      <c r="R84" s="22" t="s">
        <v>316</v>
      </c>
      <c r="S84" s="22" t="s">
        <v>317</v>
      </c>
      <c r="T84" s="22" t="s">
        <v>318</v>
      </c>
      <c r="U84" s="22"/>
    </row>
    <row r="85" spans="1:21" ht="25.5">
      <c r="A85" s="22" t="s">
        <v>106</v>
      </c>
      <c r="B85" s="22" t="s">
        <v>36</v>
      </c>
      <c r="C85" s="32" t="s">
        <v>108</v>
      </c>
      <c r="D85" s="44">
        <v>130040670018930</v>
      </c>
      <c r="E85" s="22" t="s">
        <v>74</v>
      </c>
      <c r="F85" s="22">
        <v>2023</v>
      </c>
      <c r="G85" s="22" t="s">
        <v>427</v>
      </c>
      <c r="H85" s="258" t="s">
        <v>420</v>
      </c>
      <c r="I85" s="262">
        <v>48</v>
      </c>
      <c r="J85" s="275">
        <v>2490280</v>
      </c>
      <c r="K85" s="259">
        <v>2490280</v>
      </c>
      <c r="L85" s="259" t="s">
        <v>422</v>
      </c>
      <c r="M85" s="22" t="s">
        <v>299</v>
      </c>
      <c r="N85" s="267">
        <v>45251</v>
      </c>
      <c r="O85" s="261">
        <v>153539</v>
      </c>
      <c r="P85" s="22">
        <v>1</v>
      </c>
      <c r="Q85" s="273">
        <v>153539</v>
      </c>
      <c r="R85" s="22" t="s">
        <v>316</v>
      </c>
      <c r="S85" s="22" t="s">
        <v>317</v>
      </c>
      <c r="T85" s="22" t="s">
        <v>318</v>
      </c>
      <c r="U85" s="22"/>
    </row>
    <row r="86" spans="1:21" ht="25.5">
      <c r="A86" s="22" t="s">
        <v>106</v>
      </c>
      <c r="B86" s="22" t="s">
        <v>36</v>
      </c>
      <c r="C86" s="32" t="s">
        <v>100</v>
      </c>
      <c r="D86" s="44">
        <v>130040670018928</v>
      </c>
      <c r="E86" s="22" t="s">
        <v>74</v>
      </c>
      <c r="F86" s="22">
        <v>2023</v>
      </c>
      <c r="G86" s="22" t="s">
        <v>427</v>
      </c>
      <c r="H86" s="258" t="s">
        <v>420</v>
      </c>
      <c r="I86" s="262">
        <v>24</v>
      </c>
      <c r="J86" s="259">
        <v>1067040</v>
      </c>
      <c r="K86" s="259">
        <v>1067040</v>
      </c>
      <c r="L86" s="259" t="s">
        <v>422</v>
      </c>
      <c r="M86" s="22" t="s">
        <v>299</v>
      </c>
      <c r="N86" s="267">
        <v>45254</v>
      </c>
      <c r="O86" s="261">
        <v>20353.982300884956</v>
      </c>
      <c r="P86" s="22">
        <v>1</v>
      </c>
      <c r="Q86" s="273">
        <v>20353.982300884956</v>
      </c>
      <c r="R86" s="22" t="s">
        <v>316</v>
      </c>
      <c r="S86" s="22" t="s">
        <v>317</v>
      </c>
      <c r="T86" s="22" t="s">
        <v>318</v>
      </c>
      <c r="U86" s="22"/>
    </row>
    <row r="87" spans="1:21">
      <c r="A87" s="22" t="s">
        <v>106</v>
      </c>
      <c r="B87" s="22" t="s">
        <v>36</v>
      </c>
      <c r="C87" s="32" t="s">
        <v>109</v>
      </c>
      <c r="D87" s="44">
        <v>130040670027765</v>
      </c>
      <c r="E87" s="22" t="s">
        <v>74</v>
      </c>
      <c r="F87" s="22">
        <v>2023</v>
      </c>
      <c r="G87" s="22" t="s">
        <v>427</v>
      </c>
      <c r="H87" s="258" t="s">
        <v>420</v>
      </c>
      <c r="I87" s="262">
        <v>48</v>
      </c>
      <c r="J87" s="275"/>
      <c r="K87" s="259">
        <v>0</v>
      </c>
      <c r="L87" s="259" t="s">
        <v>422</v>
      </c>
      <c r="M87" s="22" t="s">
        <v>299</v>
      </c>
      <c r="N87" s="267">
        <v>45259</v>
      </c>
      <c r="O87" s="261">
        <v>94931.85840707965</v>
      </c>
      <c r="P87" s="22">
        <v>1</v>
      </c>
      <c r="Q87" s="273">
        <v>94931.85840707965</v>
      </c>
      <c r="R87" s="22" t="s">
        <v>316</v>
      </c>
      <c r="S87" s="22" t="s">
        <v>317</v>
      </c>
      <c r="T87" s="22" t="s">
        <v>318</v>
      </c>
      <c r="U87" s="22"/>
    </row>
    <row r="88" spans="1:21" ht="25.5">
      <c r="A88" s="22" t="s">
        <v>106</v>
      </c>
      <c r="B88" s="22" t="s">
        <v>36</v>
      </c>
      <c r="C88" s="32" t="s">
        <v>108</v>
      </c>
      <c r="D88" s="44">
        <v>130040670018930</v>
      </c>
      <c r="E88" s="22" t="s">
        <v>74</v>
      </c>
      <c r="F88" s="22">
        <v>2023</v>
      </c>
      <c r="G88" s="22" t="s">
        <v>427</v>
      </c>
      <c r="H88" s="258" t="s">
        <v>420</v>
      </c>
      <c r="I88" s="262">
        <v>2</v>
      </c>
      <c r="J88" s="275"/>
      <c r="K88" s="259">
        <v>0</v>
      </c>
      <c r="L88" s="259" t="s">
        <v>421</v>
      </c>
      <c r="M88" s="22" t="s">
        <v>297</v>
      </c>
      <c r="N88" s="267">
        <v>45246</v>
      </c>
      <c r="O88" s="289">
        <v>60176.991150442482</v>
      </c>
      <c r="P88" s="22">
        <v>1</v>
      </c>
      <c r="Q88" s="273">
        <v>60176.991150442482</v>
      </c>
      <c r="R88" s="22" t="s">
        <v>316</v>
      </c>
      <c r="S88" s="22" t="s">
        <v>317</v>
      </c>
      <c r="T88" s="22" t="s">
        <v>318</v>
      </c>
      <c r="U88" s="22"/>
    </row>
    <row r="89" spans="1:21" ht="25.5">
      <c r="A89" s="22" t="s">
        <v>106</v>
      </c>
      <c r="B89" s="22" t="s">
        <v>36</v>
      </c>
      <c r="C89" s="32" t="s">
        <v>108</v>
      </c>
      <c r="D89" s="44">
        <v>130040670018930</v>
      </c>
      <c r="E89" s="22" t="s">
        <v>74</v>
      </c>
      <c r="F89" s="22">
        <v>2023</v>
      </c>
      <c r="G89" s="22" t="s">
        <v>427</v>
      </c>
      <c r="H89" s="258" t="s">
        <v>420</v>
      </c>
      <c r="I89" s="262">
        <v>2</v>
      </c>
      <c r="J89" s="275"/>
      <c r="K89" s="259">
        <v>0</v>
      </c>
      <c r="L89" s="259" t="s">
        <v>421</v>
      </c>
      <c r="M89" s="22" t="s">
        <v>297</v>
      </c>
      <c r="N89" s="267">
        <v>45252</v>
      </c>
      <c r="O89" s="289">
        <v>4867.2566371681423</v>
      </c>
      <c r="P89" s="22">
        <v>1</v>
      </c>
      <c r="Q89" s="273">
        <v>4867.2566371681423</v>
      </c>
      <c r="R89" s="22" t="s">
        <v>316</v>
      </c>
      <c r="S89" s="22" t="s">
        <v>317</v>
      </c>
      <c r="T89" s="22" t="s">
        <v>318</v>
      </c>
      <c r="U89" s="22"/>
    </row>
    <row r="90" spans="1:21" ht="25.5">
      <c r="A90" s="22" t="s">
        <v>106</v>
      </c>
      <c r="B90" s="22" t="s">
        <v>36</v>
      </c>
      <c r="C90" s="32" t="s">
        <v>100</v>
      </c>
      <c r="D90" s="44">
        <v>130040670018928</v>
      </c>
      <c r="E90" s="22" t="s">
        <v>74</v>
      </c>
      <c r="F90" s="22">
        <v>2023</v>
      </c>
      <c r="G90" s="22" t="s">
        <v>427</v>
      </c>
      <c r="H90" s="258" t="s">
        <v>420</v>
      </c>
      <c r="I90" s="262">
        <v>2</v>
      </c>
      <c r="J90" s="275"/>
      <c r="K90" s="259">
        <v>0</v>
      </c>
      <c r="L90" s="259" t="s">
        <v>421</v>
      </c>
      <c r="M90" s="22" t="s">
        <v>297</v>
      </c>
      <c r="N90" s="267">
        <v>45252</v>
      </c>
      <c r="O90" s="289">
        <v>5200.0000000000009</v>
      </c>
      <c r="P90" s="22">
        <v>1</v>
      </c>
      <c r="Q90" s="273">
        <v>5200.0000000000009</v>
      </c>
      <c r="R90" s="22" t="s">
        <v>316</v>
      </c>
      <c r="S90" s="22" t="s">
        <v>317</v>
      </c>
      <c r="T90" s="22" t="s">
        <v>318</v>
      </c>
      <c r="U90" s="22"/>
    </row>
    <row r="91" spans="1:21">
      <c r="A91" s="22" t="s">
        <v>106</v>
      </c>
      <c r="B91" s="22" t="s">
        <v>36</v>
      </c>
      <c r="C91" s="32" t="s">
        <v>109</v>
      </c>
      <c r="D91" s="44">
        <v>130040670027765</v>
      </c>
      <c r="E91" s="22" t="s">
        <v>74</v>
      </c>
      <c r="F91" s="22">
        <v>2023</v>
      </c>
      <c r="G91" s="22" t="s">
        <v>427</v>
      </c>
      <c r="H91" s="258" t="s">
        <v>420</v>
      </c>
      <c r="I91" s="262">
        <v>2</v>
      </c>
      <c r="J91" s="275"/>
      <c r="K91" s="259">
        <v>0</v>
      </c>
      <c r="L91" s="259" t="s">
        <v>421</v>
      </c>
      <c r="M91" s="22" t="s">
        <v>297</v>
      </c>
      <c r="N91" s="267">
        <v>45254</v>
      </c>
      <c r="O91" s="289">
        <v>10619.469026548673</v>
      </c>
      <c r="P91" s="22">
        <v>1</v>
      </c>
      <c r="Q91" s="273">
        <v>10619.469026548673</v>
      </c>
      <c r="R91" s="22" t="s">
        <v>316</v>
      </c>
      <c r="S91" s="22" t="s">
        <v>317</v>
      </c>
      <c r="T91" s="22" t="s">
        <v>318</v>
      </c>
      <c r="U91" s="22"/>
    </row>
    <row r="92" spans="1:21" ht="25.5">
      <c r="A92" s="22" t="s">
        <v>130</v>
      </c>
      <c r="B92" s="22" t="s">
        <v>36</v>
      </c>
      <c r="C92" s="32" t="s">
        <v>108</v>
      </c>
      <c r="D92" s="44">
        <v>130040670023448</v>
      </c>
      <c r="E92" s="22" t="s">
        <v>74</v>
      </c>
      <c r="F92" s="22">
        <v>2023</v>
      </c>
      <c r="G92" s="22" t="s">
        <v>427</v>
      </c>
      <c r="H92" s="258" t="s">
        <v>420</v>
      </c>
      <c r="I92" s="262">
        <v>2</v>
      </c>
      <c r="J92" s="275"/>
      <c r="K92" s="259">
        <v>0</v>
      </c>
      <c r="L92" s="259" t="s">
        <v>421</v>
      </c>
      <c r="M92" s="22" t="s">
        <v>297</v>
      </c>
      <c r="N92" s="267">
        <v>45252</v>
      </c>
      <c r="O92" s="289">
        <v>12600.000000000002</v>
      </c>
      <c r="P92" s="22">
        <v>1</v>
      </c>
      <c r="Q92" s="273">
        <v>12600.000000000002</v>
      </c>
      <c r="R92" s="22" t="s">
        <v>316</v>
      </c>
      <c r="S92" s="22" t="s">
        <v>317</v>
      </c>
      <c r="T92" s="22" t="s">
        <v>318</v>
      </c>
      <c r="U92" s="22"/>
    </row>
    <row r="93" spans="1:21" ht="25.5">
      <c r="A93" s="22" t="s">
        <v>130</v>
      </c>
      <c r="B93" s="22" t="s">
        <v>36</v>
      </c>
      <c r="C93" s="32" t="s">
        <v>104</v>
      </c>
      <c r="D93" s="44">
        <v>130040670023445</v>
      </c>
      <c r="E93" s="22" t="s">
        <v>74</v>
      </c>
      <c r="F93" s="22">
        <v>2023</v>
      </c>
      <c r="G93" s="22" t="s">
        <v>427</v>
      </c>
      <c r="H93" s="258" t="s">
        <v>420</v>
      </c>
      <c r="I93" s="262">
        <v>2</v>
      </c>
      <c r="J93" s="275"/>
      <c r="K93" s="259">
        <v>0</v>
      </c>
      <c r="L93" s="259" t="s">
        <v>421</v>
      </c>
      <c r="M93" s="22" t="s">
        <v>297</v>
      </c>
      <c r="N93" s="267">
        <v>45252</v>
      </c>
      <c r="O93" s="289">
        <v>11279.646017699117</v>
      </c>
      <c r="P93" s="22">
        <v>1</v>
      </c>
      <c r="Q93" s="273">
        <v>11279.646017699117</v>
      </c>
      <c r="R93" s="22" t="s">
        <v>316</v>
      </c>
      <c r="S93" s="22" t="s">
        <v>317</v>
      </c>
      <c r="T93" s="22" t="s">
        <v>318</v>
      </c>
      <c r="U93" s="22"/>
    </row>
    <row r="94" spans="1:21" ht="25.5">
      <c r="A94" s="22" t="s">
        <v>106</v>
      </c>
      <c r="B94" s="22" t="s">
        <v>36</v>
      </c>
      <c r="C94" s="32" t="s">
        <v>108</v>
      </c>
      <c r="D94" s="44">
        <v>130040670018930</v>
      </c>
      <c r="E94" s="22" t="s">
        <v>74</v>
      </c>
      <c r="F94" s="22">
        <v>2023</v>
      </c>
      <c r="G94" s="22" t="s">
        <v>428</v>
      </c>
      <c r="H94" s="258" t="s">
        <v>420</v>
      </c>
      <c r="I94" s="262">
        <v>2</v>
      </c>
      <c r="J94" s="275"/>
      <c r="K94" s="259">
        <v>0</v>
      </c>
      <c r="L94" s="259" t="s">
        <v>421</v>
      </c>
      <c r="M94" s="22" t="s">
        <v>297</v>
      </c>
      <c r="N94" s="267">
        <v>45267</v>
      </c>
      <c r="O94" s="289">
        <v>5911.5044247787619</v>
      </c>
      <c r="P94" s="22">
        <v>1</v>
      </c>
      <c r="Q94" s="273">
        <v>5911.5044247787619</v>
      </c>
      <c r="R94" s="22" t="s">
        <v>316</v>
      </c>
      <c r="S94" s="22" t="s">
        <v>317</v>
      </c>
      <c r="T94" s="22" t="s">
        <v>318</v>
      </c>
      <c r="U94" s="22"/>
    </row>
    <row r="95" spans="1:21" ht="25.5">
      <c r="A95" s="22" t="s">
        <v>106</v>
      </c>
      <c r="B95" s="22" t="s">
        <v>36</v>
      </c>
      <c r="C95" s="32" t="s">
        <v>108</v>
      </c>
      <c r="D95" s="44">
        <v>130040670018930</v>
      </c>
      <c r="E95" s="22" t="s">
        <v>74</v>
      </c>
      <c r="F95" s="22">
        <v>2023</v>
      </c>
      <c r="G95" s="22" t="s">
        <v>428</v>
      </c>
      <c r="H95" s="258" t="s">
        <v>420</v>
      </c>
      <c r="I95" s="262">
        <v>48</v>
      </c>
      <c r="J95" s="275">
        <v>2490280</v>
      </c>
      <c r="K95" s="259">
        <v>2490280</v>
      </c>
      <c r="L95" s="259" t="s">
        <v>422</v>
      </c>
      <c r="M95" s="22" t="s">
        <v>299</v>
      </c>
      <c r="N95" s="267">
        <v>45267</v>
      </c>
      <c r="O95" s="261">
        <v>8460.1769911504434</v>
      </c>
      <c r="P95" s="22">
        <v>1</v>
      </c>
      <c r="Q95" s="273">
        <v>8460.1769911504434</v>
      </c>
      <c r="R95" s="22" t="s">
        <v>316</v>
      </c>
      <c r="S95" s="22" t="s">
        <v>317</v>
      </c>
      <c r="T95" s="22" t="s">
        <v>318</v>
      </c>
      <c r="U95" s="22"/>
    </row>
    <row r="96" spans="1:21" ht="25.5">
      <c r="A96" s="22" t="s">
        <v>106</v>
      </c>
      <c r="B96" s="22" t="s">
        <v>36</v>
      </c>
      <c r="C96" s="32" t="s">
        <v>108</v>
      </c>
      <c r="D96" s="44">
        <v>130040670018930</v>
      </c>
      <c r="E96" s="22" t="s">
        <v>74</v>
      </c>
      <c r="F96" s="22">
        <v>2023</v>
      </c>
      <c r="G96" s="22" t="s">
        <v>428</v>
      </c>
      <c r="H96" s="258" t="s">
        <v>420</v>
      </c>
      <c r="I96" s="262">
        <v>2</v>
      </c>
      <c r="J96" s="275"/>
      <c r="K96" s="259">
        <v>0</v>
      </c>
      <c r="L96" s="259" t="s">
        <v>421</v>
      </c>
      <c r="M96" s="22" t="s">
        <v>297</v>
      </c>
      <c r="N96" s="267">
        <v>45271</v>
      </c>
      <c r="O96" s="289">
        <v>5575.2212389380538</v>
      </c>
      <c r="P96" s="22">
        <v>1</v>
      </c>
      <c r="Q96" s="273">
        <v>5575.2212389380538</v>
      </c>
      <c r="R96" s="22" t="s">
        <v>316</v>
      </c>
      <c r="S96" s="22" t="s">
        <v>317</v>
      </c>
      <c r="T96" s="22" t="s">
        <v>318</v>
      </c>
      <c r="U96" s="22"/>
    </row>
    <row r="97" spans="1:21" ht="25.5">
      <c r="A97" s="22" t="s">
        <v>113</v>
      </c>
      <c r="B97" s="22" t="s">
        <v>36</v>
      </c>
      <c r="C97" s="32" t="s">
        <v>114</v>
      </c>
      <c r="D97" s="44">
        <v>130040670023899</v>
      </c>
      <c r="E97" s="22" t="s">
        <v>74</v>
      </c>
      <c r="F97" s="22">
        <v>2023</v>
      </c>
      <c r="G97" s="22" t="s">
        <v>428</v>
      </c>
      <c r="H97" s="258" t="s">
        <v>420</v>
      </c>
      <c r="I97" s="262">
        <v>2</v>
      </c>
      <c r="J97" s="275"/>
      <c r="K97" s="259">
        <v>0</v>
      </c>
      <c r="L97" s="259" t="s">
        <v>421</v>
      </c>
      <c r="M97" s="22" t="s">
        <v>297</v>
      </c>
      <c r="N97" s="267">
        <v>45272</v>
      </c>
      <c r="O97" s="289">
        <v>1061.9469026548672</v>
      </c>
      <c r="P97" s="22">
        <v>1</v>
      </c>
      <c r="Q97" s="273">
        <v>1061.9469026548672</v>
      </c>
      <c r="R97" s="22" t="s">
        <v>316</v>
      </c>
      <c r="S97" s="22" t="s">
        <v>317</v>
      </c>
      <c r="T97" s="22" t="s">
        <v>318</v>
      </c>
      <c r="U97" s="22"/>
    </row>
    <row r="98" spans="1:21" ht="25.5">
      <c r="A98" s="22" t="s">
        <v>113</v>
      </c>
      <c r="B98" s="22" t="s">
        <v>36</v>
      </c>
      <c r="C98" s="32" t="s">
        <v>116</v>
      </c>
      <c r="D98" s="44">
        <v>130040670023906</v>
      </c>
      <c r="E98" s="22" t="s">
        <v>74</v>
      </c>
      <c r="F98" s="22">
        <v>2023</v>
      </c>
      <c r="G98" s="22" t="s">
        <v>428</v>
      </c>
      <c r="H98" s="258" t="s">
        <v>420</v>
      </c>
      <c r="I98" s="262">
        <v>2</v>
      </c>
      <c r="J98" s="275"/>
      <c r="K98" s="259">
        <v>0</v>
      </c>
      <c r="L98" s="259" t="s">
        <v>421</v>
      </c>
      <c r="M98" s="22" t="s">
        <v>297</v>
      </c>
      <c r="N98" s="267">
        <v>45272</v>
      </c>
      <c r="O98" s="289">
        <v>2477.8761061946907</v>
      </c>
      <c r="P98" s="22">
        <v>1</v>
      </c>
      <c r="Q98" s="273">
        <v>2477.8761061946907</v>
      </c>
      <c r="R98" s="22" t="s">
        <v>316</v>
      </c>
      <c r="S98" s="22" t="s">
        <v>317</v>
      </c>
      <c r="T98" s="22" t="s">
        <v>318</v>
      </c>
      <c r="U98" s="22"/>
    </row>
    <row r="99" spans="1:21" ht="25.5">
      <c r="A99" s="22" t="s">
        <v>113</v>
      </c>
      <c r="B99" s="22" t="s">
        <v>36</v>
      </c>
      <c r="C99" s="32" t="s">
        <v>111</v>
      </c>
      <c r="D99" s="44">
        <v>130040670023900</v>
      </c>
      <c r="E99" s="22" t="s">
        <v>74</v>
      </c>
      <c r="F99" s="22">
        <v>2023</v>
      </c>
      <c r="G99" s="22" t="s">
        <v>428</v>
      </c>
      <c r="H99" s="258" t="s">
        <v>420</v>
      </c>
      <c r="I99" s="262">
        <v>2</v>
      </c>
      <c r="J99" s="275"/>
      <c r="K99" s="259">
        <v>0</v>
      </c>
      <c r="L99" s="259" t="s">
        <v>421</v>
      </c>
      <c r="M99" s="22" t="s">
        <v>297</v>
      </c>
      <c r="N99" s="267">
        <v>45272</v>
      </c>
      <c r="O99" s="289">
        <v>3097.3451327433631</v>
      </c>
      <c r="P99" s="22">
        <v>1</v>
      </c>
      <c r="Q99" s="273">
        <v>3097.3451327433631</v>
      </c>
      <c r="R99" s="22" t="s">
        <v>316</v>
      </c>
      <c r="S99" s="22" t="s">
        <v>317</v>
      </c>
      <c r="T99" s="22" t="s">
        <v>318</v>
      </c>
      <c r="U99" s="22"/>
    </row>
    <row r="100" spans="1:21" ht="25.5">
      <c r="A100" s="22" t="s">
        <v>113</v>
      </c>
      <c r="B100" s="22" t="s">
        <v>36</v>
      </c>
      <c r="C100" s="32" t="s">
        <v>119</v>
      </c>
      <c r="D100" s="44">
        <v>130040670039455</v>
      </c>
      <c r="E100" s="22" t="s">
        <v>74</v>
      </c>
      <c r="F100" s="22">
        <v>2023</v>
      </c>
      <c r="G100" s="22" t="s">
        <v>428</v>
      </c>
      <c r="H100" s="258" t="s">
        <v>420</v>
      </c>
      <c r="I100" s="262">
        <v>2</v>
      </c>
      <c r="J100" s="275"/>
      <c r="K100" s="259">
        <v>0</v>
      </c>
      <c r="L100" s="259" t="s">
        <v>421</v>
      </c>
      <c r="M100" s="22" t="s">
        <v>297</v>
      </c>
      <c r="N100" s="267">
        <v>45272</v>
      </c>
      <c r="O100" s="289">
        <v>9889.3805309734526</v>
      </c>
      <c r="P100" s="22">
        <v>1</v>
      </c>
      <c r="Q100" s="273">
        <v>9889.3805309734526</v>
      </c>
      <c r="R100" s="22" t="s">
        <v>316</v>
      </c>
      <c r="S100" s="22" t="s">
        <v>317</v>
      </c>
      <c r="T100" s="22" t="s">
        <v>318</v>
      </c>
      <c r="U100" s="22"/>
    </row>
    <row r="101" spans="1:21" ht="38.25">
      <c r="A101" s="22" t="s">
        <v>113</v>
      </c>
      <c r="B101" s="22" t="s">
        <v>36</v>
      </c>
      <c r="C101" s="32" t="s">
        <v>121</v>
      </c>
      <c r="D101" s="44">
        <v>130040670039442</v>
      </c>
      <c r="E101" s="22" t="s">
        <v>74</v>
      </c>
      <c r="F101" s="22">
        <v>2023</v>
      </c>
      <c r="G101" s="22" t="s">
        <v>428</v>
      </c>
      <c r="H101" s="258" t="s">
        <v>420</v>
      </c>
      <c r="I101" s="262">
        <v>2</v>
      </c>
      <c r="J101" s="275"/>
      <c r="K101" s="259">
        <v>0</v>
      </c>
      <c r="L101" s="259" t="s">
        <v>421</v>
      </c>
      <c r="M101" s="22" t="s">
        <v>297</v>
      </c>
      <c r="N101" s="267">
        <v>45272</v>
      </c>
      <c r="O101" s="289">
        <v>9889.3805309734526</v>
      </c>
      <c r="P101" s="22">
        <v>1</v>
      </c>
      <c r="Q101" s="273">
        <v>9889.3805309734526</v>
      </c>
      <c r="R101" s="22" t="s">
        <v>316</v>
      </c>
      <c r="S101" s="22" t="s">
        <v>317</v>
      </c>
      <c r="T101" s="22" t="s">
        <v>318</v>
      </c>
      <c r="U101" s="22"/>
    </row>
    <row r="102" spans="1:21" ht="25.5">
      <c r="A102" s="22" t="s">
        <v>130</v>
      </c>
      <c r="B102" s="22" t="s">
        <v>36</v>
      </c>
      <c r="C102" s="32" t="s">
        <v>132</v>
      </c>
      <c r="D102" s="44">
        <v>130040670024534</v>
      </c>
      <c r="E102" s="22" t="s">
        <v>74</v>
      </c>
      <c r="F102" s="22">
        <v>2023</v>
      </c>
      <c r="G102" s="22" t="s">
        <v>428</v>
      </c>
      <c r="H102" s="258" t="s">
        <v>420</v>
      </c>
      <c r="I102" s="262">
        <v>2</v>
      </c>
      <c r="J102" s="275"/>
      <c r="K102" s="259">
        <v>0</v>
      </c>
      <c r="L102" s="259" t="s">
        <v>421</v>
      </c>
      <c r="M102" s="22" t="s">
        <v>297</v>
      </c>
      <c r="N102" s="267">
        <v>45272</v>
      </c>
      <c r="O102" s="289">
        <v>6750.4424778761068</v>
      </c>
      <c r="P102" s="22">
        <v>1</v>
      </c>
      <c r="Q102" s="273">
        <v>6750.4424778761068</v>
      </c>
      <c r="R102" s="22" t="s">
        <v>316</v>
      </c>
      <c r="S102" s="22" t="s">
        <v>317</v>
      </c>
      <c r="T102" s="22" t="s">
        <v>318</v>
      </c>
      <c r="U102" s="22"/>
    </row>
    <row r="103" spans="1:21" ht="25.5">
      <c r="A103" s="22" t="s">
        <v>130</v>
      </c>
      <c r="B103" s="22" t="s">
        <v>36</v>
      </c>
      <c r="C103" s="32" t="s">
        <v>114</v>
      </c>
      <c r="D103" s="44">
        <v>130040670023440</v>
      </c>
      <c r="E103" s="22" t="s">
        <v>74</v>
      </c>
      <c r="F103" s="22">
        <v>2023</v>
      </c>
      <c r="G103" s="22" t="s">
        <v>428</v>
      </c>
      <c r="H103" s="258" t="s">
        <v>420</v>
      </c>
      <c r="I103" s="262">
        <v>2</v>
      </c>
      <c r="J103" s="275"/>
      <c r="K103" s="259">
        <v>0</v>
      </c>
      <c r="L103" s="259" t="s">
        <v>421</v>
      </c>
      <c r="M103" s="22" t="s">
        <v>297</v>
      </c>
      <c r="N103" s="267">
        <v>45272</v>
      </c>
      <c r="O103" s="289">
        <v>5575.2212389380538</v>
      </c>
      <c r="P103" s="22">
        <v>1</v>
      </c>
      <c r="Q103" s="273">
        <v>5575.2212389380538</v>
      </c>
      <c r="R103" s="22" t="s">
        <v>316</v>
      </c>
      <c r="S103" s="22" t="s">
        <v>317</v>
      </c>
      <c r="T103" s="22" t="s">
        <v>318</v>
      </c>
      <c r="U103" s="22"/>
    </row>
    <row r="104" spans="1:21" ht="25.5">
      <c r="A104" s="22" t="s">
        <v>106</v>
      </c>
      <c r="B104" s="22" t="s">
        <v>36</v>
      </c>
      <c r="C104" s="32" t="s">
        <v>108</v>
      </c>
      <c r="D104" s="44">
        <v>130040670018930</v>
      </c>
      <c r="E104" s="22" t="s">
        <v>74</v>
      </c>
      <c r="F104" s="22">
        <v>2023</v>
      </c>
      <c r="G104" s="22" t="s">
        <v>428</v>
      </c>
      <c r="H104" s="258" t="s">
        <v>420</v>
      </c>
      <c r="I104" s="262">
        <v>48</v>
      </c>
      <c r="J104" s="275">
        <v>2490280</v>
      </c>
      <c r="K104" s="259">
        <v>2490280</v>
      </c>
      <c r="L104" s="259" t="s">
        <v>422</v>
      </c>
      <c r="M104" s="22" t="s">
        <v>299</v>
      </c>
      <c r="N104" s="267">
        <v>45275</v>
      </c>
      <c r="O104" s="261">
        <v>79969.911504424788</v>
      </c>
      <c r="P104" s="22">
        <v>1</v>
      </c>
      <c r="Q104" s="273">
        <v>79969.911504424788</v>
      </c>
      <c r="R104" s="22" t="s">
        <v>316</v>
      </c>
      <c r="S104" s="22" t="s">
        <v>317</v>
      </c>
      <c r="T104" s="22" t="s">
        <v>318</v>
      </c>
      <c r="U104" s="22"/>
    </row>
    <row r="105" spans="1:21" ht="25.5">
      <c r="A105" s="22" t="s">
        <v>113</v>
      </c>
      <c r="B105" s="22" t="s">
        <v>36</v>
      </c>
      <c r="C105" s="32" t="s">
        <v>116</v>
      </c>
      <c r="D105" s="44">
        <v>130040670023906</v>
      </c>
      <c r="E105" s="22" t="s">
        <v>74</v>
      </c>
      <c r="F105" s="22">
        <v>2023</v>
      </c>
      <c r="G105" s="22" t="s">
        <v>428</v>
      </c>
      <c r="H105" s="258" t="s">
        <v>420</v>
      </c>
      <c r="I105" s="262">
        <v>2</v>
      </c>
      <c r="J105" s="275"/>
      <c r="K105" s="259">
        <v>0</v>
      </c>
      <c r="L105" s="259" t="s">
        <v>421</v>
      </c>
      <c r="M105" s="22" t="s">
        <v>297</v>
      </c>
      <c r="N105" s="267">
        <v>45278</v>
      </c>
      <c r="O105" s="289">
        <v>4601.7699115044252</v>
      </c>
      <c r="P105" s="22">
        <v>1</v>
      </c>
      <c r="Q105" s="273">
        <v>4601.7699115044252</v>
      </c>
      <c r="R105" s="22" t="s">
        <v>316</v>
      </c>
      <c r="S105" s="22" t="s">
        <v>317</v>
      </c>
      <c r="T105" s="22" t="s">
        <v>318</v>
      </c>
      <c r="U105" s="22"/>
    </row>
    <row r="106" spans="1:21" ht="25.5">
      <c r="A106" s="22" t="s">
        <v>113</v>
      </c>
      <c r="B106" s="22" t="s">
        <v>36</v>
      </c>
      <c r="C106" s="32" t="s">
        <v>114</v>
      </c>
      <c r="D106" s="44">
        <v>130040670023899</v>
      </c>
      <c r="E106" s="22" t="s">
        <v>74</v>
      </c>
      <c r="F106" s="22">
        <v>2023</v>
      </c>
      <c r="G106" s="22" t="s">
        <v>428</v>
      </c>
      <c r="H106" s="258" t="s">
        <v>420</v>
      </c>
      <c r="I106" s="262">
        <v>2</v>
      </c>
      <c r="J106" s="275"/>
      <c r="K106" s="259">
        <v>0</v>
      </c>
      <c r="L106" s="259" t="s">
        <v>421</v>
      </c>
      <c r="M106" s="22" t="s">
        <v>297</v>
      </c>
      <c r="N106" s="267">
        <v>45278</v>
      </c>
      <c r="O106" s="289">
        <v>3362.8318584070798</v>
      </c>
      <c r="P106" s="22">
        <v>1</v>
      </c>
      <c r="Q106" s="273">
        <v>3362.8318584070798</v>
      </c>
      <c r="R106" s="22" t="s">
        <v>316</v>
      </c>
      <c r="S106" s="22" t="s">
        <v>317</v>
      </c>
      <c r="T106" s="22" t="s">
        <v>318</v>
      </c>
      <c r="U106" s="22"/>
    </row>
    <row r="107" spans="1:21" ht="25.5">
      <c r="A107" s="22" t="s">
        <v>113</v>
      </c>
      <c r="B107" s="22" t="s">
        <v>36</v>
      </c>
      <c r="C107" s="32" t="s">
        <v>111</v>
      </c>
      <c r="D107" s="44">
        <v>130040670023900</v>
      </c>
      <c r="E107" s="22" t="s">
        <v>74</v>
      </c>
      <c r="F107" s="22">
        <v>2023</v>
      </c>
      <c r="G107" s="22" t="s">
        <v>428</v>
      </c>
      <c r="H107" s="258" t="s">
        <v>420</v>
      </c>
      <c r="I107" s="262">
        <v>2</v>
      </c>
      <c r="J107" s="275"/>
      <c r="K107" s="259">
        <v>0</v>
      </c>
      <c r="L107" s="259" t="s">
        <v>421</v>
      </c>
      <c r="M107" s="22" t="s">
        <v>297</v>
      </c>
      <c r="N107" s="267">
        <v>45278</v>
      </c>
      <c r="O107" s="289">
        <v>2212.3893805309735</v>
      </c>
      <c r="P107" s="22">
        <v>1</v>
      </c>
      <c r="Q107" s="273">
        <v>2212.3893805309735</v>
      </c>
      <c r="R107" s="22" t="s">
        <v>316</v>
      </c>
      <c r="S107" s="22" t="s">
        <v>317</v>
      </c>
      <c r="T107" s="22" t="s">
        <v>318</v>
      </c>
      <c r="U107" s="22"/>
    </row>
    <row r="108" spans="1:21" ht="25.5">
      <c r="A108" s="22" t="s">
        <v>130</v>
      </c>
      <c r="B108" s="22" t="s">
        <v>36</v>
      </c>
      <c r="C108" s="32" t="s">
        <v>111</v>
      </c>
      <c r="D108" s="44">
        <v>130040670023442</v>
      </c>
      <c r="E108" s="22" t="s">
        <v>74</v>
      </c>
      <c r="F108" s="22">
        <v>2023</v>
      </c>
      <c r="G108" s="22" t="s">
        <v>428</v>
      </c>
      <c r="H108" s="258" t="s">
        <v>420</v>
      </c>
      <c r="I108" s="262">
        <v>2</v>
      </c>
      <c r="J108" s="275"/>
      <c r="K108" s="259">
        <v>0</v>
      </c>
      <c r="L108" s="259" t="s">
        <v>421</v>
      </c>
      <c r="M108" s="22" t="s">
        <v>297</v>
      </c>
      <c r="N108" s="267">
        <v>45286</v>
      </c>
      <c r="O108" s="289">
        <v>6017.6991150442482</v>
      </c>
      <c r="P108" s="22">
        <v>1</v>
      </c>
      <c r="Q108" s="273">
        <v>6017.6991150442482</v>
      </c>
      <c r="R108" s="22" t="s">
        <v>316</v>
      </c>
      <c r="S108" s="22" t="s">
        <v>317</v>
      </c>
      <c r="T108" s="22" t="s">
        <v>318</v>
      </c>
      <c r="U108" s="22"/>
    </row>
    <row r="109" spans="1:21" ht="25.5">
      <c r="A109" s="22" t="s">
        <v>130</v>
      </c>
      <c r="B109" s="22" t="s">
        <v>36</v>
      </c>
      <c r="C109" s="32" t="s">
        <v>114</v>
      </c>
      <c r="D109" s="44">
        <v>130040670023440</v>
      </c>
      <c r="E109" s="22" t="s">
        <v>74</v>
      </c>
      <c r="F109" s="22">
        <v>2023</v>
      </c>
      <c r="G109" s="22" t="s">
        <v>428</v>
      </c>
      <c r="H109" s="258" t="s">
        <v>420</v>
      </c>
      <c r="I109" s="262">
        <v>2</v>
      </c>
      <c r="J109" s="275"/>
      <c r="K109" s="259">
        <v>0</v>
      </c>
      <c r="L109" s="259" t="s">
        <v>421</v>
      </c>
      <c r="M109" s="22" t="s">
        <v>297</v>
      </c>
      <c r="N109" s="267">
        <v>45286</v>
      </c>
      <c r="O109" s="289">
        <v>18584.070796460179</v>
      </c>
      <c r="P109" s="22">
        <v>1</v>
      </c>
      <c r="Q109" s="273">
        <v>18584.070796460179</v>
      </c>
      <c r="R109" s="22" t="s">
        <v>316</v>
      </c>
      <c r="S109" s="22" t="s">
        <v>317</v>
      </c>
      <c r="T109" s="22" t="s">
        <v>318</v>
      </c>
      <c r="U109" s="22"/>
    </row>
    <row r="110" spans="1:21" ht="25.5">
      <c r="A110" s="22" t="s">
        <v>130</v>
      </c>
      <c r="B110" s="22" t="s">
        <v>36</v>
      </c>
      <c r="C110" s="32" t="s">
        <v>100</v>
      </c>
      <c r="D110" s="44">
        <v>130040670023444</v>
      </c>
      <c r="E110" s="22" t="s">
        <v>74</v>
      </c>
      <c r="F110" s="22">
        <v>2023</v>
      </c>
      <c r="G110" s="22" t="s">
        <v>428</v>
      </c>
      <c r="H110" s="258" t="s">
        <v>420</v>
      </c>
      <c r="I110" s="262">
        <v>2</v>
      </c>
      <c r="J110" s="275"/>
      <c r="K110" s="259">
        <v>0</v>
      </c>
      <c r="L110" s="259" t="s">
        <v>421</v>
      </c>
      <c r="M110" s="22" t="s">
        <v>297</v>
      </c>
      <c r="N110" s="267">
        <v>45286</v>
      </c>
      <c r="O110" s="289">
        <v>1327.4336283185842</v>
      </c>
      <c r="P110" s="22">
        <v>1</v>
      </c>
      <c r="Q110" s="273">
        <v>1327.4336283185842</v>
      </c>
      <c r="R110" s="22" t="s">
        <v>316</v>
      </c>
      <c r="S110" s="22" t="s">
        <v>317</v>
      </c>
      <c r="T110" s="22" t="s">
        <v>318</v>
      </c>
      <c r="U110" s="22"/>
    </row>
    <row r="111" spans="1:21" ht="25.5">
      <c r="A111" s="22" t="s">
        <v>130</v>
      </c>
      <c r="B111" s="22" t="s">
        <v>36</v>
      </c>
      <c r="C111" s="32" t="s">
        <v>108</v>
      </c>
      <c r="D111" s="44">
        <v>130040670023448</v>
      </c>
      <c r="E111" s="22" t="s">
        <v>74</v>
      </c>
      <c r="F111" s="22">
        <v>2023</v>
      </c>
      <c r="G111" s="22" t="s">
        <v>428</v>
      </c>
      <c r="H111" s="258" t="s">
        <v>420</v>
      </c>
      <c r="I111" s="262">
        <v>2</v>
      </c>
      <c r="J111" s="275"/>
      <c r="K111" s="259">
        <v>0</v>
      </c>
      <c r="L111" s="259" t="s">
        <v>421</v>
      </c>
      <c r="M111" s="22" t="s">
        <v>297</v>
      </c>
      <c r="N111" s="267">
        <v>45286</v>
      </c>
      <c r="O111" s="289">
        <v>23893.805309734515</v>
      </c>
      <c r="P111" s="22">
        <v>1</v>
      </c>
      <c r="Q111" s="273">
        <v>23893.805309734515</v>
      </c>
      <c r="R111" s="22" t="s">
        <v>316</v>
      </c>
      <c r="S111" s="22" t="s">
        <v>317</v>
      </c>
      <c r="T111" s="22" t="s">
        <v>318</v>
      </c>
      <c r="U111" s="22"/>
    </row>
    <row r="112" spans="1:21" ht="25.5">
      <c r="A112" s="22" t="s">
        <v>130</v>
      </c>
      <c r="B112" s="22" t="s">
        <v>36</v>
      </c>
      <c r="C112" s="32" t="s">
        <v>133</v>
      </c>
      <c r="D112" s="44">
        <v>130040670023443</v>
      </c>
      <c r="E112" s="22" t="s">
        <v>74</v>
      </c>
      <c r="F112" s="22">
        <v>2023</v>
      </c>
      <c r="G112" s="22" t="s">
        <v>428</v>
      </c>
      <c r="H112" s="258" t="s">
        <v>420</v>
      </c>
      <c r="I112" s="262">
        <v>2</v>
      </c>
      <c r="J112" s="275"/>
      <c r="K112" s="259">
        <v>0</v>
      </c>
      <c r="L112" s="259" t="s">
        <v>421</v>
      </c>
      <c r="M112" s="22" t="s">
        <v>297</v>
      </c>
      <c r="N112" s="267">
        <v>45286</v>
      </c>
      <c r="O112" s="289">
        <v>15601.769911504427</v>
      </c>
      <c r="P112" s="22">
        <v>1</v>
      </c>
      <c r="Q112" s="273">
        <v>15601.769911504427</v>
      </c>
      <c r="R112" s="22" t="s">
        <v>316</v>
      </c>
      <c r="S112" s="22" t="s">
        <v>317</v>
      </c>
      <c r="T112" s="22" t="s">
        <v>318</v>
      </c>
      <c r="U112" s="22"/>
    </row>
    <row r="113" spans="1:21" ht="25.5">
      <c r="A113" s="22" t="s">
        <v>106</v>
      </c>
      <c r="B113" s="22" t="s">
        <v>36</v>
      </c>
      <c r="C113" s="32" t="s">
        <v>111</v>
      </c>
      <c r="D113" s="44">
        <v>130040670018919</v>
      </c>
      <c r="E113" s="22" t="s">
        <v>74</v>
      </c>
      <c r="F113" s="22">
        <v>2023</v>
      </c>
      <c r="G113" s="22" t="s">
        <v>428</v>
      </c>
      <c r="H113" s="258" t="s">
        <v>420</v>
      </c>
      <c r="I113" s="262">
        <v>2</v>
      </c>
      <c r="J113" s="275"/>
      <c r="K113" s="259">
        <v>0</v>
      </c>
      <c r="L113" s="259" t="s">
        <v>421</v>
      </c>
      <c r="M113" s="22" t="s">
        <v>297</v>
      </c>
      <c r="N113" s="267">
        <v>45286</v>
      </c>
      <c r="O113" s="289">
        <v>21238.938053097347</v>
      </c>
      <c r="P113" s="22">
        <v>1</v>
      </c>
      <c r="Q113" s="273">
        <v>21238.938053097347</v>
      </c>
      <c r="R113" s="22" t="s">
        <v>316</v>
      </c>
      <c r="S113" s="22" t="s">
        <v>317</v>
      </c>
      <c r="T113" s="22" t="s">
        <v>318</v>
      </c>
      <c r="U113" s="22"/>
    </row>
    <row r="114" spans="1:21" ht="25.5">
      <c r="A114" s="22" t="s">
        <v>106</v>
      </c>
      <c r="B114" s="22" t="s">
        <v>36</v>
      </c>
      <c r="C114" s="32" t="s">
        <v>100</v>
      </c>
      <c r="D114" s="44">
        <v>130040670018928</v>
      </c>
      <c r="E114" s="22" t="s">
        <v>74</v>
      </c>
      <c r="F114" s="22">
        <v>2023</v>
      </c>
      <c r="G114" s="22" t="s">
        <v>428</v>
      </c>
      <c r="H114" s="258" t="s">
        <v>420</v>
      </c>
      <c r="I114" s="262">
        <v>2</v>
      </c>
      <c r="J114" s="275"/>
      <c r="K114" s="259">
        <v>0</v>
      </c>
      <c r="L114" s="259" t="s">
        <v>421</v>
      </c>
      <c r="M114" s="22" t="s">
        <v>297</v>
      </c>
      <c r="N114" s="267">
        <v>45288</v>
      </c>
      <c r="O114" s="289">
        <v>6807.9646017699124</v>
      </c>
      <c r="P114" s="22">
        <v>1</v>
      </c>
      <c r="Q114" s="273">
        <v>6807.9646017699124</v>
      </c>
      <c r="R114" s="22" t="s">
        <v>316</v>
      </c>
      <c r="S114" s="22" t="s">
        <v>317</v>
      </c>
      <c r="T114" s="22" t="s">
        <v>318</v>
      </c>
      <c r="U114" s="22"/>
    </row>
    <row r="115" spans="1:21" ht="25.5">
      <c r="A115" s="22" t="s">
        <v>113</v>
      </c>
      <c r="B115" s="22" t="s">
        <v>36</v>
      </c>
      <c r="C115" s="32" t="s">
        <v>100</v>
      </c>
      <c r="D115" s="44">
        <v>130040670018928</v>
      </c>
      <c r="E115" s="22" t="s">
        <v>74</v>
      </c>
      <c r="F115" s="22">
        <v>2023</v>
      </c>
      <c r="G115" s="22" t="s">
        <v>429</v>
      </c>
      <c r="H115" s="258" t="s">
        <v>420</v>
      </c>
      <c r="I115" s="262">
        <v>2</v>
      </c>
      <c r="J115" s="275"/>
      <c r="K115" s="259">
        <v>0</v>
      </c>
      <c r="L115" s="259" t="s">
        <v>421</v>
      </c>
      <c r="M115" s="22" t="s">
        <v>296</v>
      </c>
      <c r="N115" s="267">
        <v>45196</v>
      </c>
      <c r="O115" s="273">
        <v>134000</v>
      </c>
      <c r="P115" s="22">
        <v>1</v>
      </c>
      <c r="Q115" s="273">
        <v>134000</v>
      </c>
      <c r="R115" s="22" t="s">
        <v>347</v>
      </c>
      <c r="S115" s="22" t="s">
        <v>317</v>
      </c>
      <c r="T115" s="22" t="s">
        <v>318</v>
      </c>
      <c r="U115" s="22"/>
    </row>
    <row r="116" spans="1:21" ht="25.5">
      <c r="A116" s="22" t="s">
        <v>113</v>
      </c>
      <c r="B116" s="22" t="s">
        <v>36</v>
      </c>
      <c r="C116" s="32" t="s">
        <v>104</v>
      </c>
      <c r="D116" s="44">
        <v>130040670018929</v>
      </c>
      <c r="E116" s="22" t="s">
        <v>74</v>
      </c>
      <c r="F116" s="22">
        <v>2023</v>
      </c>
      <c r="G116" s="22" t="s">
        <v>429</v>
      </c>
      <c r="H116" s="258" t="s">
        <v>420</v>
      </c>
      <c r="I116" s="262">
        <v>2</v>
      </c>
      <c r="J116" s="275"/>
      <c r="K116" s="259">
        <v>0</v>
      </c>
      <c r="L116" s="259" t="s">
        <v>421</v>
      </c>
      <c r="M116" s="22" t="s">
        <v>296</v>
      </c>
      <c r="N116" s="267">
        <v>45196</v>
      </c>
      <c r="O116" s="273">
        <v>89000.000000000015</v>
      </c>
      <c r="P116" s="22">
        <v>1</v>
      </c>
      <c r="Q116" s="273">
        <v>89000.000000000015</v>
      </c>
      <c r="R116" s="22" t="s">
        <v>347</v>
      </c>
      <c r="S116" s="22" t="s">
        <v>317</v>
      </c>
      <c r="T116" s="22" t="s">
        <v>318</v>
      </c>
      <c r="U116" s="22"/>
    </row>
    <row r="117" spans="1:21" ht="25.5">
      <c r="A117" s="22" t="s">
        <v>113</v>
      </c>
      <c r="B117" s="22" t="s">
        <v>36</v>
      </c>
      <c r="C117" s="32" t="s">
        <v>108</v>
      </c>
      <c r="D117" s="44">
        <v>130040670018930</v>
      </c>
      <c r="E117" s="22" t="s">
        <v>74</v>
      </c>
      <c r="F117" s="22">
        <v>2023</v>
      </c>
      <c r="G117" s="22" t="s">
        <v>429</v>
      </c>
      <c r="H117" s="258" t="s">
        <v>420</v>
      </c>
      <c r="I117" s="262">
        <v>2</v>
      </c>
      <c r="J117" s="275"/>
      <c r="K117" s="259">
        <v>0</v>
      </c>
      <c r="L117" s="259" t="s">
        <v>421</v>
      </c>
      <c r="M117" s="22" t="s">
        <v>296</v>
      </c>
      <c r="N117" s="267">
        <v>45196</v>
      </c>
      <c r="O117" s="273">
        <v>89000.000000000015</v>
      </c>
      <c r="P117" s="22">
        <v>1</v>
      </c>
      <c r="Q117" s="273">
        <v>89000.000000000015</v>
      </c>
      <c r="R117" s="22" t="s">
        <v>347</v>
      </c>
      <c r="S117" s="22" t="s">
        <v>317</v>
      </c>
      <c r="T117" s="22" t="s">
        <v>318</v>
      </c>
      <c r="U117" s="22"/>
    </row>
    <row r="118" spans="1:21" ht="25.5">
      <c r="A118" s="22" t="s">
        <v>113</v>
      </c>
      <c r="B118" s="22" t="s">
        <v>36</v>
      </c>
      <c r="C118" s="32" t="s">
        <v>114</v>
      </c>
      <c r="D118" s="44">
        <v>130040670023899</v>
      </c>
      <c r="E118" s="22" t="s">
        <v>74</v>
      </c>
      <c r="F118" s="22">
        <v>2023</v>
      </c>
      <c r="G118" s="22" t="s">
        <v>430</v>
      </c>
      <c r="H118" s="258" t="s">
        <v>420</v>
      </c>
      <c r="I118" s="262">
        <v>2</v>
      </c>
      <c r="J118" s="275"/>
      <c r="K118" s="259">
        <v>0</v>
      </c>
      <c r="L118" s="259" t="s">
        <v>421</v>
      </c>
      <c r="M118" s="22" t="s">
        <v>296</v>
      </c>
      <c r="N118" s="267">
        <v>45196</v>
      </c>
      <c r="O118" s="261">
        <v>108000.00000000001</v>
      </c>
      <c r="P118" s="22">
        <v>1</v>
      </c>
      <c r="Q118" s="273">
        <v>108000.00000000001</v>
      </c>
      <c r="R118" s="22" t="s">
        <v>347</v>
      </c>
      <c r="S118" s="22" t="s">
        <v>317</v>
      </c>
      <c r="T118" s="22" t="s">
        <v>318</v>
      </c>
      <c r="U118" s="22"/>
    </row>
    <row r="119" spans="1:21" ht="25.5">
      <c r="A119" s="22" t="s">
        <v>113</v>
      </c>
      <c r="B119" s="22" t="s">
        <v>36</v>
      </c>
      <c r="C119" s="32" t="s">
        <v>111</v>
      </c>
      <c r="D119" s="44">
        <v>130040670023900</v>
      </c>
      <c r="E119" s="22" t="s">
        <v>74</v>
      </c>
      <c r="F119" s="22">
        <v>2023</v>
      </c>
      <c r="G119" s="22" t="s">
        <v>430</v>
      </c>
      <c r="H119" s="258" t="s">
        <v>420</v>
      </c>
      <c r="I119" s="262">
        <v>2</v>
      </c>
      <c r="J119" s="275"/>
      <c r="K119" s="259">
        <v>0</v>
      </c>
      <c r="L119" s="259" t="s">
        <v>421</v>
      </c>
      <c r="M119" s="22" t="s">
        <v>296</v>
      </c>
      <c r="N119" s="267">
        <v>45196</v>
      </c>
      <c r="O119" s="261">
        <v>99000.000000000015</v>
      </c>
      <c r="P119" s="22">
        <v>1</v>
      </c>
      <c r="Q119" s="273">
        <v>99000.000000000015</v>
      </c>
      <c r="R119" s="22" t="s">
        <v>347</v>
      </c>
      <c r="S119" s="22" t="s">
        <v>317</v>
      </c>
      <c r="T119" s="22" t="s">
        <v>318</v>
      </c>
      <c r="U119" s="22"/>
    </row>
    <row r="120" spans="1:21" ht="25.5">
      <c r="A120" s="22" t="s">
        <v>113</v>
      </c>
      <c r="B120" s="22" t="s">
        <v>36</v>
      </c>
      <c r="C120" s="32" t="s">
        <v>116</v>
      </c>
      <c r="D120" s="44">
        <v>130040670023906</v>
      </c>
      <c r="E120" s="22" t="s">
        <v>74</v>
      </c>
      <c r="F120" s="22">
        <v>2023</v>
      </c>
      <c r="G120" s="22" t="s">
        <v>430</v>
      </c>
      <c r="H120" s="258" t="s">
        <v>420</v>
      </c>
      <c r="I120" s="262">
        <v>2</v>
      </c>
      <c r="J120" s="275"/>
      <c r="K120" s="259">
        <v>0</v>
      </c>
      <c r="L120" s="259" t="s">
        <v>421</v>
      </c>
      <c r="M120" s="22" t="s">
        <v>296</v>
      </c>
      <c r="N120" s="267">
        <v>45196</v>
      </c>
      <c r="O120" s="261">
        <v>70000</v>
      </c>
      <c r="P120" s="22">
        <v>1</v>
      </c>
      <c r="Q120" s="273">
        <v>70000</v>
      </c>
      <c r="R120" s="22" t="s">
        <v>347</v>
      </c>
      <c r="S120" s="22" t="s">
        <v>317</v>
      </c>
      <c r="T120" s="22" t="s">
        <v>318</v>
      </c>
      <c r="U120" s="22"/>
    </row>
    <row r="121" spans="1:21" ht="25.5">
      <c r="A121" s="22" t="s">
        <v>113</v>
      </c>
      <c r="B121" s="22" t="s">
        <v>36</v>
      </c>
      <c r="C121" s="32" t="s">
        <v>119</v>
      </c>
      <c r="D121" s="44">
        <v>130040670039455</v>
      </c>
      <c r="E121" s="22" t="s">
        <v>74</v>
      </c>
      <c r="F121" s="22">
        <v>2023</v>
      </c>
      <c r="G121" s="22" t="s">
        <v>430</v>
      </c>
      <c r="H121" s="258" t="s">
        <v>420</v>
      </c>
      <c r="I121" s="262">
        <v>2</v>
      </c>
      <c r="J121" s="275"/>
      <c r="K121" s="259">
        <v>0</v>
      </c>
      <c r="L121" s="259" t="s">
        <v>421</v>
      </c>
      <c r="M121" s="22" t="s">
        <v>296</v>
      </c>
      <c r="N121" s="267">
        <v>45196</v>
      </c>
      <c r="O121" s="261">
        <v>65000.000000000007</v>
      </c>
      <c r="P121" s="22">
        <v>1</v>
      </c>
      <c r="Q121" s="273">
        <v>65000.000000000007</v>
      </c>
      <c r="R121" s="22" t="s">
        <v>347</v>
      </c>
      <c r="S121" s="22" t="s">
        <v>317</v>
      </c>
      <c r="T121" s="22" t="s">
        <v>318</v>
      </c>
      <c r="U121" s="22"/>
    </row>
    <row r="122" spans="1:21" ht="38.25">
      <c r="A122" s="22" t="s">
        <v>113</v>
      </c>
      <c r="B122" s="22" t="s">
        <v>36</v>
      </c>
      <c r="C122" s="32" t="s">
        <v>121</v>
      </c>
      <c r="D122" s="44">
        <v>130040670039442</v>
      </c>
      <c r="E122" s="22" t="s">
        <v>74</v>
      </c>
      <c r="F122" s="22">
        <v>2023</v>
      </c>
      <c r="G122" s="22" t="s">
        <v>430</v>
      </c>
      <c r="H122" s="258" t="s">
        <v>420</v>
      </c>
      <c r="I122" s="262">
        <v>2</v>
      </c>
      <c r="J122" s="275"/>
      <c r="K122" s="259">
        <v>0</v>
      </c>
      <c r="L122" s="259" t="s">
        <v>421</v>
      </c>
      <c r="M122" s="22" t="s">
        <v>296</v>
      </c>
      <c r="N122" s="267">
        <v>45196</v>
      </c>
      <c r="O122" s="261">
        <v>65000.000000000007</v>
      </c>
      <c r="P122" s="22">
        <v>1</v>
      </c>
      <c r="Q122" s="273">
        <v>65000.000000000007</v>
      </c>
      <c r="R122" s="22" t="s">
        <v>347</v>
      </c>
      <c r="S122" s="22" t="s">
        <v>317</v>
      </c>
      <c r="T122" s="22" t="s">
        <v>318</v>
      </c>
      <c r="U122" s="22"/>
    </row>
    <row r="123" spans="1:21" ht="25.5">
      <c r="A123" s="22" t="s">
        <v>130</v>
      </c>
      <c r="B123" s="22" t="s">
        <v>36</v>
      </c>
      <c r="C123" s="32" t="s">
        <v>100</v>
      </c>
      <c r="D123" s="44">
        <v>130040670023444</v>
      </c>
      <c r="E123" s="22" t="s">
        <v>74</v>
      </c>
      <c r="F123" s="22">
        <v>2023</v>
      </c>
      <c r="G123" s="22" t="s">
        <v>429</v>
      </c>
      <c r="H123" s="258" t="s">
        <v>420</v>
      </c>
      <c r="I123" s="262">
        <v>2</v>
      </c>
      <c r="J123" s="275"/>
      <c r="K123" s="259">
        <v>0</v>
      </c>
      <c r="L123" s="259" t="s">
        <v>421</v>
      </c>
      <c r="M123" s="22" t="s">
        <v>296</v>
      </c>
      <c r="N123" s="267">
        <v>45230</v>
      </c>
      <c r="O123" s="261">
        <v>187000.00000000003</v>
      </c>
      <c r="P123" s="22">
        <v>1</v>
      </c>
      <c r="Q123" s="273">
        <v>187000.00000000003</v>
      </c>
      <c r="R123" s="22" t="s">
        <v>358</v>
      </c>
      <c r="S123" s="22" t="s">
        <v>317</v>
      </c>
      <c r="T123" s="22" t="s">
        <v>318</v>
      </c>
      <c r="U123" s="22"/>
    </row>
    <row r="124" spans="1:21" ht="25.5">
      <c r="A124" s="22" t="s">
        <v>130</v>
      </c>
      <c r="B124" s="22" t="s">
        <v>36</v>
      </c>
      <c r="C124" s="32" t="s">
        <v>133</v>
      </c>
      <c r="D124" s="44">
        <v>130040670023443</v>
      </c>
      <c r="E124" s="22" t="s">
        <v>74</v>
      </c>
      <c r="F124" s="22">
        <v>2023</v>
      </c>
      <c r="G124" s="22" t="s">
        <v>429</v>
      </c>
      <c r="H124" s="258" t="s">
        <v>420</v>
      </c>
      <c r="I124" s="262">
        <v>2</v>
      </c>
      <c r="J124" s="275"/>
      <c r="K124" s="259">
        <v>0</v>
      </c>
      <c r="L124" s="259" t="s">
        <v>421</v>
      </c>
      <c r="M124" s="22" t="s">
        <v>296</v>
      </c>
      <c r="N124" s="267">
        <v>45230</v>
      </c>
      <c r="O124" s="261">
        <v>75000</v>
      </c>
      <c r="P124" s="22">
        <v>1</v>
      </c>
      <c r="Q124" s="273">
        <v>75000</v>
      </c>
      <c r="R124" s="22" t="s">
        <v>358</v>
      </c>
      <c r="S124" s="22" t="s">
        <v>317</v>
      </c>
      <c r="T124" s="22" t="s">
        <v>318</v>
      </c>
      <c r="U124" s="22"/>
    </row>
    <row r="125" spans="1:21" ht="25.5">
      <c r="A125" s="22" t="s">
        <v>130</v>
      </c>
      <c r="B125" s="22" t="s">
        <v>36</v>
      </c>
      <c r="C125" s="32" t="s">
        <v>111</v>
      </c>
      <c r="D125" s="44">
        <v>130040670023442</v>
      </c>
      <c r="E125" s="22" t="s">
        <v>74</v>
      </c>
      <c r="F125" s="22">
        <v>2023</v>
      </c>
      <c r="G125" s="22" t="s">
        <v>429</v>
      </c>
      <c r="H125" s="258" t="s">
        <v>420</v>
      </c>
      <c r="I125" s="262">
        <v>2</v>
      </c>
      <c r="J125" s="275"/>
      <c r="K125" s="259">
        <v>0</v>
      </c>
      <c r="L125" s="259" t="s">
        <v>421</v>
      </c>
      <c r="M125" s="22" t="s">
        <v>296</v>
      </c>
      <c r="N125" s="267">
        <v>45230</v>
      </c>
      <c r="O125" s="261">
        <v>98000.000000000015</v>
      </c>
      <c r="P125" s="22">
        <v>1</v>
      </c>
      <c r="Q125" s="273">
        <v>98000.000000000015</v>
      </c>
      <c r="R125" s="22" t="s">
        <v>358</v>
      </c>
      <c r="S125" s="22" t="s">
        <v>317</v>
      </c>
      <c r="T125" s="22" t="s">
        <v>318</v>
      </c>
      <c r="U125" s="22"/>
    </row>
    <row r="126" spans="1:21" ht="25.5">
      <c r="A126" s="22" t="s">
        <v>130</v>
      </c>
      <c r="B126" s="22" t="s">
        <v>36</v>
      </c>
      <c r="C126" s="32" t="s">
        <v>104</v>
      </c>
      <c r="D126" s="44">
        <v>130040670023445</v>
      </c>
      <c r="E126" s="22" t="s">
        <v>74</v>
      </c>
      <c r="F126" s="22">
        <v>2023</v>
      </c>
      <c r="G126" s="22" t="s">
        <v>429</v>
      </c>
      <c r="H126" s="258" t="s">
        <v>420</v>
      </c>
      <c r="I126" s="262">
        <v>2</v>
      </c>
      <c r="J126" s="275"/>
      <c r="K126" s="259">
        <v>0</v>
      </c>
      <c r="L126" s="259" t="s">
        <v>421</v>
      </c>
      <c r="M126" s="22" t="s">
        <v>296</v>
      </c>
      <c r="N126" s="267">
        <v>45230</v>
      </c>
      <c r="O126" s="261">
        <v>89000.000000000015</v>
      </c>
      <c r="P126" s="22">
        <v>1</v>
      </c>
      <c r="Q126" s="273">
        <v>89000.000000000015</v>
      </c>
      <c r="R126" s="22" t="s">
        <v>358</v>
      </c>
      <c r="S126" s="22" t="s">
        <v>317</v>
      </c>
      <c r="T126" s="22" t="s">
        <v>318</v>
      </c>
      <c r="U126" s="22"/>
    </row>
    <row r="127" spans="1:21" ht="25.5">
      <c r="A127" s="22" t="s">
        <v>130</v>
      </c>
      <c r="B127" s="22" t="s">
        <v>36</v>
      </c>
      <c r="C127" s="32" t="s">
        <v>108</v>
      </c>
      <c r="D127" s="44">
        <v>130040670023448</v>
      </c>
      <c r="E127" s="22" t="s">
        <v>74</v>
      </c>
      <c r="F127" s="22">
        <v>2023</v>
      </c>
      <c r="G127" s="22" t="s">
        <v>429</v>
      </c>
      <c r="H127" s="258" t="s">
        <v>420</v>
      </c>
      <c r="I127" s="262">
        <v>2</v>
      </c>
      <c r="J127" s="275"/>
      <c r="K127" s="259">
        <v>0</v>
      </c>
      <c r="L127" s="259" t="s">
        <v>421</v>
      </c>
      <c r="M127" s="22" t="s">
        <v>296</v>
      </c>
      <c r="N127" s="267">
        <v>45230</v>
      </c>
      <c r="O127" s="261">
        <v>89000.000000000015</v>
      </c>
      <c r="P127" s="22">
        <v>1</v>
      </c>
      <c r="Q127" s="273">
        <v>89000.000000000015</v>
      </c>
      <c r="R127" s="22" t="s">
        <v>358</v>
      </c>
      <c r="S127" s="22" t="s">
        <v>317</v>
      </c>
      <c r="T127" s="22" t="s">
        <v>318</v>
      </c>
      <c r="U127" s="22"/>
    </row>
    <row r="128" spans="1:21" ht="25.5">
      <c r="A128" s="22" t="s">
        <v>130</v>
      </c>
      <c r="B128" s="22" t="s">
        <v>36</v>
      </c>
      <c r="C128" s="32" t="s">
        <v>114</v>
      </c>
      <c r="D128" s="44">
        <v>130040670023440</v>
      </c>
      <c r="E128" s="22" t="s">
        <v>74</v>
      </c>
      <c r="F128" s="22">
        <v>2023</v>
      </c>
      <c r="G128" s="22" t="s">
        <v>429</v>
      </c>
      <c r="H128" s="258" t="s">
        <v>420</v>
      </c>
      <c r="I128" s="262">
        <v>2</v>
      </c>
      <c r="J128" s="275"/>
      <c r="K128" s="259">
        <v>0</v>
      </c>
      <c r="L128" s="259" t="s">
        <v>421</v>
      </c>
      <c r="M128" s="22" t="s">
        <v>296</v>
      </c>
      <c r="N128" s="267">
        <v>45230</v>
      </c>
      <c r="O128" s="261">
        <v>103000.00000000001</v>
      </c>
      <c r="P128" s="22">
        <v>1</v>
      </c>
      <c r="Q128" s="273">
        <v>103000.00000000001</v>
      </c>
      <c r="R128" s="22" t="s">
        <v>358</v>
      </c>
      <c r="S128" s="22" t="s">
        <v>317</v>
      </c>
      <c r="T128" s="22" t="s">
        <v>318</v>
      </c>
      <c r="U128" s="22"/>
    </row>
    <row r="129" spans="1:21" ht="25.5">
      <c r="A129" s="22" t="s">
        <v>130</v>
      </c>
      <c r="B129" s="22" t="s">
        <v>36</v>
      </c>
      <c r="C129" s="32" t="s">
        <v>132</v>
      </c>
      <c r="D129" s="44">
        <v>130040670024534</v>
      </c>
      <c r="E129" s="22" t="s">
        <v>74</v>
      </c>
      <c r="F129" s="22">
        <v>2023</v>
      </c>
      <c r="G129" s="22" t="s">
        <v>429</v>
      </c>
      <c r="H129" s="258" t="s">
        <v>420</v>
      </c>
      <c r="I129" s="262">
        <v>2</v>
      </c>
      <c r="J129" s="275"/>
      <c r="K129" s="259">
        <v>0</v>
      </c>
      <c r="L129" s="259" t="s">
        <v>421</v>
      </c>
      <c r="M129" s="22" t="s">
        <v>296</v>
      </c>
      <c r="N129" s="267">
        <v>45230</v>
      </c>
      <c r="O129" s="261">
        <v>70000</v>
      </c>
      <c r="P129" s="22">
        <v>1</v>
      </c>
      <c r="Q129" s="273">
        <v>70000</v>
      </c>
      <c r="R129" s="22" t="s">
        <v>358</v>
      </c>
      <c r="S129" s="22" t="s">
        <v>317</v>
      </c>
      <c r="T129" s="22" t="s">
        <v>318</v>
      </c>
      <c r="U129" s="22"/>
    </row>
    <row r="130" spans="1:21" ht="25.5">
      <c r="A130" s="272" t="s">
        <v>153</v>
      </c>
      <c r="B130" s="22" t="s">
        <v>36</v>
      </c>
      <c r="C130" s="32" t="s">
        <v>133</v>
      </c>
      <c r="D130" s="44">
        <v>130040670043029</v>
      </c>
      <c r="E130" s="22" t="s">
        <v>74</v>
      </c>
      <c r="F130" s="22">
        <v>2023</v>
      </c>
      <c r="G130" s="22" t="s">
        <v>428</v>
      </c>
      <c r="H130" s="258" t="s">
        <v>420</v>
      </c>
      <c r="I130" s="262">
        <v>2</v>
      </c>
      <c r="J130" s="275"/>
      <c r="K130" s="259">
        <v>0</v>
      </c>
      <c r="L130" s="259" t="s">
        <v>421</v>
      </c>
      <c r="M130" s="22" t="s">
        <v>296</v>
      </c>
      <c r="N130" s="267">
        <v>45289</v>
      </c>
      <c r="O130" s="261">
        <v>65000.000000000007</v>
      </c>
      <c r="P130" s="22">
        <v>1</v>
      </c>
      <c r="Q130" s="273">
        <v>65000.000000000007</v>
      </c>
      <c r="R130" s="22" t="s">
        <v>358</v>
      </c>
      <c r="S130" s="22" t="s">
        <v>317</v>
      </c>
      <c r="T130" s="22" t="s">
        <v>318</v>
      </c>
      <c r="U130" s="22"/>
    </row>
    <row r="131" spans="1:21">
      <c r="A131" s="272" t="s">
        <v>106</v>
      </c>
      <c r="B131" s="22" t="s">
        <v>36</v>
      </c>
      <c r="C131" s="32" t="s">
        <v>109</v>
      </c>
      <c r="D131" s="44">
        <v>130040670027765</v>
      </c>
      <c r="E131" s="22" t="s">
        <v>74</v>
      </c>
      <c r="F131" s="22">
        <v>2023</v>
      </c>
      <c r="G131" s="22" t="s">
        <v>429</v>
      </c>
      <c r="H131" s="258" t="s">
        <v>420</v>
      </c>
      <c r="I131" s="262">
        <v>2</v>
      </c>
      <c r="J131" s="275"/>
      <c r="K131" s="259">
        <v>0</v>
      </c>
      <c r="L131" s="259" t="s">
        <v>421</v>
      </c>
      <c r="M131" s="22" t="s">
        <v>296</v>
      </c>
      <c r="N131" s="258">
        <v>45218</v>
      </c>
      <c r="O131" s="261">
        <v>71000</v>
      </c>
      <c r="P131" s="22">
        <v>1</v>
      </c>
      <c r="Q131" s="273">
        <v>71000</v>
      </c>
      <c r="R131" s="22" t="s">
        <v>358</v>
      </c>
      <c r="S131" s="22" t="s">
        <v>317</v>
      </c>
      <c r="T131" s="22" t="s">
        <v>318</v>
      </c>
      <c r="U131" s="22"/>
    </row>
    <row r="132" spans="1:21" ht="25.5">
      <c r="A132" s="272" t="s">
        <v>106</v>
      </c>
      <c r="B132" s="22" t="s">
        <v>36</v>
      </c>
      <c r="C132" s="32" t="s">
        <v>111</v>
      </c>
      <c r="D132" s="44">
        <v>130040670018919</v>
      </c>
      <c r="E132" s="22" t="s">
        <v>74</v>
      </c>
      <c r="F132" s="22">
        <v>2023</v>
      </c>
      <c r="G132" s="22" t="s">
        <v>429</v>
      </c>
      <c r="H132" s="258" t="s">
        <v>420</v>
      </c>
      <c r="I132" s="262">
        <v>2</v>
      </c>
      <c r="J132" s="275"/>
      <c r="K132" s="259">
        <v>0</v>
      </c>
      <c r="L132" s="259" t="s">
        <v>421</v>
      </c>
      <c r="M132" s="22" t="s">
        <v>296</v>
      </c>
      <c r="N132" s="258">
        <v>45218</v>
      </c>
      <c r="O132" s="261">
        <v>98000.000000000015</v>
      </c>
      <c r="P132" s="22">
        <v>1</v>
      </c>
      <c r="Q132" s="273">
        <v>98000.000000000015</v>
      </c>
      <c r="R132" s="22" t="s">
        <v>358</v>
      </c>
      <c r="S132" s="22" t="s">
        <v>317</v>
      </c>
      <c r="T132" s="22" t="s">
        <v>318</v>
      </c>
      <c r="U132" s="22"/>
    </row>
    <row r="133" spans="1:21">
      <c r="A133" s="272" t="s">
        <v>106</v>
      </c>
      <c r="B133" s="22" t="s">
        <v>36</v>
      </c>
      <c r="C133" s="32" t="s">
        <v>112</v>
      </c>
      <c r="D133" s="44">
        <v>130040670018925</v>
      </c>
      <c r="E133" s="22" t="s">
        <v>74</v>
      </c>
      <c r="F133" s="22">
        <v>2023</v>
      </c>
      <c r="G133" s="22" t="s">
        <v>429</v>
      </c>
      <c r="H133" s="258" t="s">
        <v>420</v>
      </c>
      <c r="I133" s="262">
        <v>2</v>
      </c>
      <c r="J133" s="275"/>
      <c r="K133" s="259">
        <v>0</v>
      </c>
      <c r="L133" s="259" t="s">
        <v>421</v>
      </c>
      <c r="M133" s="22" t="s">
        <v>296</v>
      </c>
      <c r="N133" s="258">
        <v>45218</v>
      </c>
      <c r="O133" s="261">
        <v>65000.000000000007</v>
      </c>
      <c r="P133" s="22">
        <v>1</v>
      </c>
      <c r="Q133" s="273">
        <v>65000.000000000007</v>
      </c>
      <c r="R133" s="22" t="s">
        <v>358</v>
      </c>
      <c r="S133" s="22" t="s">
        <v>317</v>
      </c>
      <c r="T133" s="22" t="s">
        <v>318</v>
      </c>
      <c r="U133" s="22"/>
    </row>
    <row r="134" spans="1:21" ht="38.25">
      <c r="A134" s="22" t="s">
        <v>130</v>
      </c>
      <c r="B134" s="22" t="s">
        <v>36</v>
      </c>
      <c r="C134" s="274" t="s">
        <v>104</v>
      </c>
      <c r="D134" s="44">
        <v>130040670023445</v>
      </c>
      <c r="E134" s="22" t="s">
        <v>74</v>
      </c>
      <c r="F134" s="22">
        <v>2024</v>
      </c>
      <c r="G134" s="22" t="s">
        <v>427</v>
      </c>
      <c r="H134" s="258" t="s">
        <v>420</v>
      </c>
      <c r="I134" s="282">
        <v>2</v>
      </c>
      <c r="J134" s="275"/>
      <c r="K134" s="259">
        <v>0</v>
      </c>
      <c r="L134" s="275" t="s">
        <v>421</v>
      </c>
      <c r="M134" s="22" t="s">
        <v>297</v>
      </c>
      <c r="N134" s="260">
        <v>45597</v>
      </c>
      <c r="O134" s="261">
        <v>15044</v>
      </c>
      <c r="P134" s="22">
        <v>1</v>
      </c>
      <c r="Q134" s="273">
        <v>15044</v>
      </c>
      <c r="R134" s="22" t="s">
        <v>349</v>
      </c>
      <c r="S134" s="22" t="s">
        <v>317</v>
      </c>
      <c r="T134" s="22" t="s">
        <v>318</v>
      </c>
      <c r="U134" s="264" t="s">
        <v>388</v>
      </c>
    </row>
    <row r="135" spans="1:21" ht="25.5">
      <c r="A135" s="22" t="s">
        <v>106</v>
      </c>
      <c r="B135" s="22" t="s">
        <v>36</v>
      </c>
      <c r="C135" s="266" t="s">
        <v>111</v>
      </c>
      <c r="D135" s="44">
        <v>130040670018919</v>
      </c>
      <c r="E135" s="22" t="s">
        <v>74</v>
      </c>
      <c r="F135" s="22">
        <v>2024</v>
      </c>
      <c r="G135" s="22" t="s">
        <v>428</v>
      </c>
      <c r="H135" s="258" t="s">
        <v>420</v>
      </c>
      <c r="I135" s="283">
        <v>2</v>
      </c>
      <c r="J135" s="284"/>
      <c r="K135" s="259">
        <v>0</v>
      </c>
      <c r="L135" s="259" t="s">
        <v>421</v>
      </c>
      <c r="M135" s="22" t="s">
        <v>297</v>
      </c>
      <c r="N135" s="267">
        <v>45271</v>
      </c>
      <c r="O135" s="291">
        <v>5575.2212389380538</v>
      </c>
      <c r="P135" s="22">
        <v>1</v>
      </c>
      <c r="Q135" s="273">
        <v>5575.2212389380538</v>
      </c>
      <c r="R135" s="22" t="s">
        <v>316</v>
      </c>
      <c r="S135" s="22" t="s">
        <v>317</v>
      </c>
      <c r="T135" s="22" t="s">
        <v>318</v>
      </c>
      <c r="U135" s="285"/>
    </row>
    <row r="136" spans="1:21" ht="25.5">
      <c r="A136" s="22" t="s">
        <v>106</v>
      </c>
      <c r="B136" s="22" t="s">
        <v>36</v>
      </c>
      <c r="C136" s="32" t="s">
        <v>100</v>
      </c>
      <c r="D136" s="44">
        <v>130040670018928</v>
      </c>
      <c r="E136" s="22" t="s">
        <v>74</v>
      </c>
      <c r="F136" s="22">
        <v>2024</v>
      </c>
      <c r="G136" s="22" t="s">
        <v>425</v>
      </c>
      <c r="H136" s="258" t="s">
        <v>420</v>
      </c>
      <c r="I136" s="283">
        <v>2</v>
      </c>
      <c r="J136" s="284"/>
      <c r="K136" s="259">
        <v>0</v>
      </c>
      <c r="L136" s="259" t="s">
        <v>421</v>
      </c>
      <c r="M136" s="22" t="s">
        <v>297</v>
      </c>
      <c r="N136" s="267">
        <v>45295</v>
      </c>
      <c r="O136" s="291">
        <v>8442.4778761061953</v>
      </c>
      <c r="P136" s="22">
        <v>1</v>
      </c>
      <c r="Q136" s="273">
        <v>8442.4778761061953</v>
      </c>
      <c r="R136" s="22" t="s">
        <v>316</v>
      </c>
      <c r="S136" s="22" t="s">
        <v>317</v>
      </c>
      <c r="T136" s="22" t="s">
        <v>318</v>
      </c>
      <c r="U136" s="285"/>
    </row>
    <row r="137" spans="1:21">
      <c r="A137" s="22" t="s">
        <v>113</v>
      </c>
      <c r="B137" s="22" t="s">
        <v>36</v>
      </c>
      <c r="C137" s="272" t="s">
        <v>323</v>
      </c>
      <c r="D137" s="44">
        <v>130040670023906</v>
      </c>
      <c r="E137" s="22" t="s">
        <v>74</v>
      </c>
      <c r="F137" s="22">
        <v>2024</v>
      </c>
      <c r="G137" s="22" t="s">
        <v>431</v>
      </c>
      <c r="H137" s="258" t="s">
        <v>420</v>
      </c>
      <c r="I137" s="283">
        <v>2</v>
      </c>
      <c r="J137" s="284"/>
      <c r="K137" s="259">
        <v>0</v>
      </c>
      <c r="L137" s="259" t="s">
        <v>421</v>
      </c>
      <c r="M137" s="22" t="s">
        <v>297</v>
      </c>
      <c r="N137" s="267">
        <v>45393</v>
      </c>
      <c r="O137" s="291">
        <v>5752</v>
      </c>
      <c r="P137" s="22">
        <v>1</v>
      </c>
      <c r="Q137" s="273">
        <v>5752</v>
      </c>
      <c r="R137" s="22" t="s">
        <v>316</v>
      </c>
      <c r="S137" s="22" t="s">
        <v>317</v>
      </c>
      <c r="T137" s="22" t="s">
        <v>318</v>
      </c>
      <c r="U137" s="285"/>
    </row>
  </sheetData>
  <protectedRanges>
    <protectedRange sqref="E2:G3 C1:G1 A1:A3 M1:U3" name="Range1_18"/>
    <protectedRange sqref="B2:B3" name="Range1_30_17"/>
    <protectedRange sqref="H2:H3 L2:L3 I1:K3" name="Range1_31_17"/>
    <protectedRange sqref="E4:G4 A4 M4:U4" name="Range1_19"/>
    <protectedRange sqref="B4" name="Range1_30_18"/>
    <protectedRange sqref="H4:L4" name="Range1_31_18"/>
    <protectedRange sqref="E12:G12 E5:G9 C10:G11 C13:G13 A5:A13 M5:U13" name="Range1_20"/>
    <protectedRange sqref="B5:B13" name="Range1_30_19"/>
    <protectedRange sqref="H5:L13" name="Range1_31_19"/>
    <protectedRange sqref="E19:G23 C18:G18 A14:A23 E14:G17 M14:U23" name="Range1_21"/>
    <protectedRange sqref="B14:B23" name="Range1_30_20"/>
    <protectedRange sqref="H14:L23" name="Range1_31_20"/>
    <protectedRange sqref="E24:G30 A24:A30 M24:U30" name="Range1_29"/>
    <protectedRange sqref="B24:B30" name="Range1_30_21"/>
    <protectedRange sqref="H24:L30" name="Range1_31_21"/>
    <protectedRange sqref="C31:G31 A31 M31:U31" name="Range1_32"/>
    <protectedRange sqref="B31" name="Range1_30_22"/>
    <protectedRange sqref="H31:L31" name="Range1_31_22"/>
    <protectedRange sqref="E38:G39 E34:G34 E36:G36 E41:G41 C40:G40 C35:G35 C37:G37 C32:G33 A32:A41 M32:U41" name="Range1_33"/>
    <protectedRange sqref="B32:B41" name="Range1_30_23"/>
    <protectedRange sqref="H32:L41" name="Range1_31_23"/>
    <protectedRange sqref="E45:G46 E43:G43 C42:G42 C44:G44 A42:A46 M42:U46" name="Range1_34"/>
    <protectedRange sqref="B42:B46" name="Range1_30_24"/>
    <protectedRange sqref="H42:L46" name="Range1_31_24"/>
    <protectedRange sqref="C47:G48 A47:A48 M47:U48" name="Range1_35"/>
    <protectedRange sqref="B47:B48" name="Range1_30_25"/>
    <protectedRange sqref="H47:L48" name="Range1_31_25"/>
    <protectedRange sqref="C49:G49 A49 M49:U49" name="Range1_36"/>
    <protectedRange sqref="B49" name="Range1_30_26"/>
    <protectedRange sqref="H49:L49" name="Range1_31_26"/>
    <protectedRange sqref="E50:G51 A50:A51 M50:U51" name="Range1_37"/>
    <protectedRange sqref="B50:B51" name="Range1_30_27"/>
    <protectedRange sqref="H50:L51" name="Range1_31_27"/>
    <protectedRange sqref="E52:G52 A52 M52:U52" name="Range1_38"/>
    <protectedRange sqref="B52" name="Range1_30_28"/>
    <protectedRange sqref="H52:L52" name="Range1_31_28"/>
    <protectedRange sqref="C53:G54 E55:G57 A53:A57 M53:U57" name="Range1_39"/>
    <protectedRange sqref="B53:B57" name="Range1_30_29"/>
    <protectedRange sqref="H53:L57" name="Range1_31_29"/>
    <protectedRange sqref="F58:G83 M58:U83" name="Range1_40"/>
    <protectedRange sqref="A58" name="Range1_3_3"/>
    <protectedRange sqref="A59" name="Range1_4_1"/>
    <protectedRange sqref="A60" name="Range1_5_4"/>
    <protectedRange sqref="A61" name="Range1_6_2"/>
    <protectedRange sqref="A62" name="Range1_7_2"/>
    <protectedRange sqref="A63" name="Range1_8_1"/>
    <protectedRange sqref="A64" name="Range1_9_3"/>
    <protectedRange sqref="A65" name="Range1_10_3"/>
    <protectedRange sqref="A66" name="Range1_11_4"/>
    <protectedRange sqref="A67" name="Range1_12_3"/>
    <protectedRange sqref="A68" name="Range1_13_2"/>
    <protectedRange sqref="A69" name="Range1_14_1"/>
    <protectedRange sqref="A70" name="Range1_15_1"/>
    <protectedRange sqref="A71" name="Range1_16_1"/>
    <protectedRange sqref="A72" name="Range1_17_1"/>
    <protectedRange sqref="A73" name="Range1_18_1"/>
    <protectedRange sqref="A74" name="Range1_19_1"/>
    <protectedRange sqref="A75" name="Range1_20_1"/>
    <protectedRange sqref="A76" name="Range1_21_1"/>
    <protectedRange sqref="A77" name="Range1_22_2"/>
    <protectedRange sqref="A78" name="Range1_23_2"/>
    <protectedRange sqref="A79" name="Range1_24_2"/>
    <protectedRange sqref="A80" name="Range1_25_2"/>
    <protectedRange sqref="A81" name="Range1_26_2"/>
    <protectedRange sqref="A82" name="Range1_27_2"/>
    <protectedRange sqref="A83" name="Range1_28_1"/>
    <protectedRange sqref="B58:B83" name="Range1_30_30"/>
    <protectedRange sqref="H58:L83" name="Range1_31_30"/>
    <protectedRange sqref="F84:G84 M84:U84" name="Range1_41"/>
    <protectedRange sqref="A84" name="Range1_26_3"/>
    <protectedRange sqref="B84" name="Range1_30_31"/>
    <protectedRange sqref="H84:L84" name="Range1_31_31"/>
    <protectedRange sqref="F85:G130 A130 M85:U130" name="Range1_42"/>
    <protectedRange sqref="A86 A90 A114" name="Range1_3_4"/>
    <protectedRange sqref="A85 A88:A89 A94:A96 A104" name="Range1_5_5"/>
    <protectedRange sqref="A87 A91" name="Range1_6_3"/>
    <protectedRange sqref="A113" name="Range1_7_3"/>
    <protectedRange sqref="A97 A106 A118 A115" name="Range1_9_4"/>
    <protectedRange sqref="A99 A107 A119 A116" name="Range1_10_4"/>
    <protectedRange sqref="A98 A105 A120 A117" name="Range1_11_5"/>
    <protectedRange sqref="A100 A121" name="Range1_12_4"/>
    <protectedRange sqref="A101 A122" name="Range1_13_3"/>
    <protectedRange sqref="A110 A123" name="Range1_22_3"/>
    <protectedRange sqref="A93 A126" name="Range1_23_3"/>
    <protectedRange sqref="A92 A111 A127" name="Range1_24_3"/>
    <protectedRange sqref="A103 A109 A128" name="Range1_25_3"/>
    <protectedRange sqref="A108 A125" name="Range1_26_4"/>
    <protectedRange sqref="A102 A129" name="Range1_27_3"/>
    <protectedRange sqref="A112 A124" name="Range1_28_2"/>
    <protectedRange sqref="B85:B130" name="Range1_30_32"/>
    <protectedRange sqref="H85:L130" name="Range1_31_32"/>
    <protectedRange sqref="F131:G133 A131:A133 M131:U133" name="Range1_43"/>
    <protectedRange sqref="B131:B133" name="Range1_30_33"/>
    <protectedRange sqref="H131:L133" name="Range1_31_33"/>
    <protectedRange sqref="C134 F134:G134 M134:U134" name="Range1_44"/>
    <protectedRange sqref="A134" name="Range1_22_4"/>
    <protectedRange sqref="B134" name="Range1_30_34"/>
    <protectedRange sqref="H134:L134" name="Range1_31_34"/>
    <protectedRange sqref="C135 E135:G137 M135:U137" name="Range1_45"/>
    <protectedRange sqref="A135:A136" name="Range1_5_6"/>
    <protectedRange sqref="A137" name="Range1_11_6"/>
    <protectedRange sqref="B135:B137" name="Range1_30_35"/>
    <protectedRange sqref="H135:L137" name="Range1_31_35"/>
  </protectedRanges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Sheet1!$G$3:$G$6</xm:f>
          </x14:formula1>
          <xm:sqref>M2:M137</xm:sqref>
        </x14:dataValidation>
        <x14:dataValidation type="list" allowBlank="1" showInputMessage="1" showErrorMessage="1">
          <x14:formula1>
            <xm:f>Sheet1!$E$3:$E$4</xm:f>
          </x14:formula1>
          <xm:sqref>T2:T137</xm:sqref>
        </x14:dataValidation>
        <x14:dataValidation type="list" allowBlank="1" showInputMessage="1" showErrorMessage="1">
          <x14:formula1>
            <xm:f>Sheet1!$D$3:$D$4</xm:f>
          </x14:formula1>
          <xm:sqref>S2:S137</xm:sqref>
        </x14:dataValidation>
        <x14:dataValidation type="list" allowBlank="1" showInputMessage="1" showErrorMessage="1">
          <x14:formula1>
            <xm:f>Sheet1!$A$2:$A$45</xm:f>
          </x14:formula1>
          <xm:sqref>A2:A137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opLeftCell="A13" workbookViewId="0">
      <selection activeCell="J34" sqref="J34"/>
    </sheetView>
  </sheetViews>
  <sheetFormatPr defaultRowHeight="14.25"/>
  <cols>
    <col min="1" max="1" width="24.875" style="244" customWidth="1"/>
    <col min="2" max="2" width="17.75" style="244" customWidth="1"/>
    <col min="3" max="3" width="17.75" customWidth="1"/>
    <col min="4" max="4" width="19" customWidth="1"/>
    <col min="5" max="5" width="15.125" customWidth="1"/>
    <col min="7" max="7" width="13.625" customWidth="1"/>
    <col min="15" max="15" width="19.125" customWidth="1"/>
  </cols>
  <sheetData>
    <row r="1" spans="1:15">
      <c r="A1" s="242" t="s">
        <v>2</v>
      </c>
      <c r="B1" s="242" t="s">
        <v>33</v>
      </c>
    </row>
    <row r="2" spans="1:15">
      <c r="A2" s="7" t="s">
        <v>86</v>
      </c>
      <c r="B2" s="242" t="s">
        <v>36</v>
      </c>
      <c r="C2" t="s">
        <v>47</v>
      </c>
      <c r="D2" t="s">
        <v>313</v>
      </c>
      <c r="E2" t="s">
        <v>314</v>
      </c>
      <c r="F2" t="s">
        <v>303</v>
      </c>
      <c r="G2" t="s">
        <v>295</v>
      </c>
      <c r="H2" t="s">
        <v>66</v>
      </c>
      <c r="I2" t="s">
        <v>48</v>
      </c>
      <c r="J2" t="s">
        <v>49</v>
      </c>
      <c r="L2" t="s">
        <v>432</v>
      </c>
      <c r="O2" t="s">
        <v>42</v>
      </c>
    </row>
    <row r="3" spans="1:15">
      <c r="A3" s="7" t="s">
        <v>433</v>
      </c>
      <c r="B3" s="242" t="s">
        <v>36</v>
      </c>
      <c r="C3" t="s">
        <v>76</v>
      </c>
      <c r="D3" t="s">
        <v>317</v>
      </c>
      <c r="E3" t="s">
        <v>434</v>
      </c>
      <c r="F3" t="s">
        <v>435</v>
      </c>
      <c r="G3" t="s">
        <v>296</v>
      </c>
      <c r="H3" t="s">
        <v>436</v>
      </c>
      <c r="I3">
        <v>2022</v>
      </c>
      <c r="J3" s="244">
        <v>1</v>
      </c>
      <c r="L3" t="s">
        <v>316</v>
      </c>
      <c r="O3" t="s">
        <v>34</v>
      </c>
    </row>
    <row r="4" spans="1:15">
      <c r="A4" s="7" t="s">
        <v>96</v>
      </c>
      <c r="B4" s="242" t="s">
        <v>36</v>
      </c>
      <c r="C4" t="s">
        <v>437</v>
      </c>
      <c r="D4" t="s">
        <v>438</v>
      </c>
      <c r="E4" t="s">
        <v>318</v>
      </c>
      <c r="F4" t="s">
        <v>322</v>
      </c>
      <c r="G4" t="s">
        <v>297</v>
      </c>
      <c r="H4" t="s">
        <v>439</v>
      </c>
      <c r="I4">
        <v>2023</v>
      </c>
      <c r="J4" s="244">
        <v>2</v>
      </c>
      <c r="L4" t="s">
        <v>410</v>
      </c>
      <c r="O4" t="s">
        <v>35</v>
      </c>
    </row>
    <row r="5" spans="1:15">
      <c r="A5" s="7" t="s">
        <v>124</v>
      </c>
      <c r="B5" s="242" t="s">
        <v>36</v>
      </c>
      <c r="C5" t="s">
        <v>440</v>
      </c>
      <c r="F5" t="s">
        <v>315</v>
      </c>
      <c r="G5" t="s">
        <v>298</v>
      </c>
      <c r="H5" t="s">
        <v>441</v>
      </c>
      <c r="I5">
        <v>2024</v>
      </c>
      <c r="J5" s="244">
        <v>3</v>
      </c>
      <c r="L5" t="s">
        <v>442</v>
      </c>
      <c r="O5" t="s">
        <v>36</v>
      </c>
    </row>
    <row r="6" spans="1:15">
      <c r="A6" s="7" t="s">
        <v>127</v>
      </c>
      <c r="B6" s="242" t="s">
        <v>36</v>
      </c>
      <c r="C6" t="s">
        <v>443</v>
      </c>
      <c r="F6" t="s">
        <v>325</v>
      </c>
      <c r="G6" t="s">
        <v>299</v>
      </c>
      <c r="H6" t="s">
        <v>444</v>
      </c>
      <c r="I6">
        <v>2025</v>
      </c>
      <c r="J6" s="244">
        <v>4</v>
      </c>
      <c r="O6" t="s">
        <v>300</v>
      </c>
    </row>
    <row r="7" spans="1:15">
      <c r="A7" s="7" t="s">
        <v>106</v>
      </c>
      <c r="B7" s="242" t="s">
        <v>36</v>
      </c>
      <c r="C7" t="s">
        <v>445</v>
      </c>
      <c r="G7" t="s">
        <v>444</v>
      </c>
      <c r="I7">
        <v>2026</v>
      </c>
      <c r="J7" s="244">
        <v>5</v>
      </c>
      <c r="O7" t="s">
        <v>37</v>
      </c>
    </row>
    <row r="8" spans="1:15">
      <c r="A8" s="7" t="s">
        <v>113</v>
      </c>
      <c r="B8" s="242" t="s">
        <v>36</v>
      </c>
      <c r="C8" t="s">
        <v>444</v>
      </c>
      <c r="I8">
        <v>2027</v>
      </c>
      <c r="J8" s="244">
        <v>6</v>
      </c>
    </row>
    <row r="9" spans="1:15">
      <c r="A9" s="7" t="s">
        <v>346</v>
      </c>
      <c r="B9" s="242" t="s">
        <v>36</v>
      </c>
      <c r="I9">
        <v>2028</v>
      </c>
      <c r="J9" s="244">
        <v>7</v>
      </c>
    </row>
    <row r="10" spans="1:15">
      <c r="A10" s="7" t="s">
        <v>130</v>
      </c>
      <c r="B10" s="242" t="s">
        <v>36</v>
      </c>
      <c r="I10">
        <v>2029</v>
      </c>
      <c r="J10" s="244">
        <v>8</v>
      </c>
    </row>
    <row r="11" spans="1:15">
      <c r="A11" s="7" t="s">
        <v>446</v>
      </c>
      <c r="B11" s="242" t="s">
        <v>36</v>
      </c>
      <c r="I11">
        <v>2030</v>
      </c>
      <c r="J11" s="244">
        <v>9</v>
      </c>
    </row>
    <row r="12" spans="1:15">
      <c r="A12" s="7" t="s">
        <v>153</v>
      </c>
      <c r="B12" s="242" t="s">
        <v>36</v>
      </c>
      <c r="I12">
        <v>2031</v>
      </c>
      <c r="J12" s="244">
        <v>10</v>
      </c>
    </row>
    <row r="13" spans="1:15">
      <c r="A13" s="7" t="s">
        <v>390</v>
      </c>
      <c r="B13" s="242" t="s">
        <v>34</v>
      </c>
      <c r="I13">
        <v>2032</v>
      </c>
      <c r="J13" s="244">
        <v>11</v>
      </c>
    </row>
    <row r="14" spans="1:15">
      <c r="A14" s="7" t="s">
        <v>447</v>
      </c>
      <c r="B14" s="242" t="s">
        <v>34</v>
      </c>
      <c r="I14">
        <v>2033</v>
      </c>
      <c r="J14" s="244">
        <v>12</v>
      </c>
    </row>
    <row r="15" spans="1:15">
      <c r="A15" s="7" t="s">
        <v>448</v>
      </c>
      <c r="B15" s="242" t="s">
        <v>34</v>
      </c>
      <c r="C15" s="293" t="s">
        <v>449</v>
      </c>
      <c r="D15" s="293" t="s">
        <v>450</v>
      </c>
      <c r="I15">
        <v>2034</v>
      </c>
    </row>
    <row r="16" spans="1:15">
      <c r="A16" s="7" t="s">
        <v>451</v>
      </c>
      <c r="B16" s="242" t="s">
        <v>300</v>
      </c>
      <c r="C16" s="293" t="s">
        <v>452</v>
      </c>
      <c r="D16" s="293" t="s">
        <v>451</v>
      </c>
    </row>
    <row r="17" spans="1:4">
      <c r="A17" s="7" t="s">
        <v>453</v>
      </c>
      <c r="B17" s="242" t="s">
        <v>300</v>
      </c>
      <c r="C17" s="293" t="s">
        <v>454</v>
      </c>
      <c r="D17" s="293" t="s">
        <v>453</v>
      </c>
    </row>
    <row r="18" spans="1:4">
      <c r="A18" s="7" t="s">
        <v>455</v>
      </c>
      <c r="B18" s="242" t="s">
        <v>300</v>
      </c>
      <c r="C18" s="293" t="s">
        <v>456</v>
      </c>
      <c r="D18" s="293" t="s">
        <v>455</v>
      </c>
    </row>
    <row r="19" spans="1:4">
      <c r="A19" s="7" t="s">
        <v>457</v>
      </c>
      <c r="B19" s="242" t="s">
        <v>300</v>
      </c>
    </row>
    <row r="20" spans="1:4">
      <c r="A20" s="7" t="s">
        <v>359</v>
      </c>
      <c r="B20" s="242" t="s">
        <v>300</v>
      </c>
    </row>
    <row r="21" spans="1:4">
      <c r="A21" s="7" t="s">
        <v>458</v>
      </c>
      <c r="B21" s="242" t="s">
        <v>300</v>
      </c>
    </row>
    <row r="22" spans="1:4">
      <c r="A22" s="7" t="s">
        <v>459</v>
      </c>
      <c r="B22" s="242" t="s">
        <v>300</v>
      </c>
    </row>
    <row r="23" spans="1:4">
      <c r="A23" s="7" t="s">
        <v>460</v>
      </c>
      <c r="B23" s="242" t="s">
        <v>300</v>
      </c>
    </row>
    <row r="24" spans="1:4">
      <c r="A24" s="7" t="s">
        <v>461</v>
      </c>
      <c r="B24" s="242" t="s">
        <v>300</v>
      </c>
    </row>
    <row r="25" spans="1:4">
      <c r="A25" s="7" t="s">
        <v>340</v>
      </c>
      <c r="B25" s="242" t="s">
        <v>300</v>
      </c>
    </row>
    <row r="26" spans="1:4">
      <c r="A26" s="7" t="s">
        <v>462</v>
      </c>
      <c r="B26" s="242" t="s">
        <v>300</v>
      </c>
    </row>
    <row r="27" spans="1:4">
      <c r="A27" s="7" t="s">
        <v>463</v>
      </c>
      <c r="B27" s="242" t="s">
        <v>300</v>
      </c>
    </row>
    <row r="28" spans="1:4">
      <c r="A28" s="7" t="s">
        <v>464</v>
      </c>
      <c r="B28" s="242" t="s">
        <v>300</v>
      </c>
    </row>
    <row r="29" spans="1:4">
      <c r="A29" s="243" t="s">
        <v>465</v>
      </c>
      <c r="B29" s="242" t="s">
        <v>36</v>
      </c>
    </row>
    <row r="30" spans="1:4">
      <c r="A30" s="7" t="s">
        <v>319</v>
      </c>
      <c r="B30" s="242" t="s">
        <v>36</v>
      </c>
    </row>
    <row r="31" spans="1:4">
      <c r="A31" s="7" t="s">
        <v>466</v>
      </c>
      <c r="B31" s="242" t="s">
        <v>300</v>
      </c>
    </row>
    <row r="32" spans="1:4">
      <c r="A32" s="7" t="s">
        <v>467</v>
      </c>
      <c r="B32" s="242" t="s">
        <v>300</v>
      </c>
    </row>
    <row r="33" spans="1:2">
      <c r="A33" s="7" t="s">
        <v>468</v>
      </c>
      <c r="B33" s="242" t="s">
        <v>300</v>
      </c>
    </row>
    <row r="34" spans="1:2">
      <c r="A34" s="7" t="s">
        <v>469</v>
      </c>
      <c r="B34" s="242" t="s">
        <v>36</v>
      </c>
    </row>
    <row r="35" spans="1:2">
      <c r="A35" s="7" t="s">
        <v>18</v>
      </c>
      <c r="B35" s="242" t="s">
        <v>34</v>
      </c>
    </row>
    <row r="36" spans="1:2">
      <c r="A36" s="7" t="s">
        <v>470</v>
      </c>
      <c r="B36" s="242" t="s">
        <v>34</v>
      </c>
    </row>
    <row r="37" spans="1:2">
      <c r="A37" s="7" t="s">
        <v>471</v>
      </c>
      <c r="B37" s="242" t="s">
        <v>35</v>
      </c>
    </row>
    <row r="38" spans="1:2">
      <c r="A38" s="294" t="s">
        <v>472</v>
      </c>
      <c r="B38" s="295" t="s">
        <v>34</v>
      </c>
    </row>
    <row r="39" spans="1:2">
      <c r="A39" s="294" t="s">
        <v>80</v>
      </c>
      <c r="B39" s="295" t="s">
        <v>34</v>
      </c>
    </row>
    <row r="40" spans="1:2">
      <c r="A40" s="294" t="s">
        <v>473</v>
      </c>
      <c r="B40" s="295" t="s">
        <v>34</v>
      </c>
    </row>
    <row r="41" spans="1:2">
      <c r="A41" s="294" t="s">
        <v>135</v>
      </c>
      <c r="B41" s="295" t="s">
        <v>34</v>
      </c>
    </row>
    <row r="42" spans="1:2">
      <c r="A42" s="294" t="s">
        <v>474</v>
      </c>
      <c r="B42" s="295" t="s">
        <v>34</v>
      </c>
    </row>
    <row r="43" spans="1:2">
      <c r="A43" s="294" t="s">
        <v>475</v>
      </c>
      <c r="B43" s="295"/>
    </row>
    <row r="44" spans="1:2">
      <c r="A44" s="294" t="s">
        <v>136</v>
      </c>
      <c r="B44" s="295" t="s">
        <v>35</v>
      </c>
    </row>
    <row r="45" spans="1:2">
      <c r="A45" s="294" t="s">
        <v>476</v>
      </c>
      <c r="B45" s="295" t="s">
        <v>35</v>
      </c>
    </row>
    <row r="46" spans="1:2">
      <c r="A46" s="294" t="s">
        <v>477</v>
      </c>
      <c r="B46" s="295" t="s">
        <v>35</v>
      </c>
    </row>
    <row r="47" spans="1:2">
      <c r="A47" s="294" t="s">
        <v>478</v>
      </c>
      <c r="B47" s="295"/>
    </row>
    <row r="48" spans="1:2">
      <c r="A48" s="294" t="s">
        <v>479</v>
      </c>
      <c r="B48" s="295" t="s">
        <v>35</v>
      </c>
    </row>
    <row r="49" spans="1:2">
      <c r="A49" s="7" t="s">
        <v>480</v>
      </c>
      <c r="B49" s="242" t="s">
        <v>35</v>
      </c>
    </row>
    <row r="50" spans="1:2">
      <c r="A50" s="7" t="s">
        <v>481</v>
      </c>
      <c r="B50" s="242" t="s">
        <v>35</v>
      </c>
    </row>
    <row r="51" spans="1:2">
      <c r="A51" s="7" t="s">
        <v>482</v>
      </c>
      <c r="B51" s="242" t="s">
        <v>35</v>
      </c>
    </row>
    <row r="52" spans="1:2">
      <c r="A52" s="7" t="s">
        <v>483</v>
      </c>
      <c r="B52" s="242" t="s">
        <v>35</v>
      </c>
    </row>
    <row r="53" spans="1:2">
      <c r="A53" s="7" t="s">
        <v>334</v>
      </c>
      <c r="B53" s="242" t="s">
        <v>35</v>
      </c>
    </row>
    <row r="54" spans="1:2">
      <c r="A54" s="7" t="s">
        <v>484</v>
      </c>
      <c r="B54" s="242" t="s">
        <v>35</v>
      </c>
    </row>
    <row r="55" spans="1:2">
      <c r="A55" s="7" t="s">
        <v>336</v>
      </c>
      <c r="B55" s="242" t="s">
        <v>34</v>
      </c>
    </row>
    <row r="56" spans="1:2">
      <c r="A56" s="7" t="s">
        <v>331</v>
      </c>
      <c r="B56" s="242" t="s">
        <v>34</v>
      </c>
    </row>
    <row r="57" spans="1:2">
      <c r="A57" s="7" t="s">
        <v>339</v>
      </c>
      <c r="B57" s="242" t="s">
        <v>34</v>
      </c>
    </row>
    <row r="58" spans="1:2">
      <c r="A58" s="7" t="s">
        <v>485</v>
      </c>
      <c r="B58" s="242" t="s">
        <v>35</v>
      </c>
    </row>
    <row r="59" spans="1:2">
      <c r="A59" s="7" t="s">
        <v>486</v>
      </c>
      <c r="B59" s="242" t="s">
        <v>35</v>
      </c>
    </row>
    <row r="60" spans="1:2">
      <c r="A60" s="7" t="s">
        <v>487</v>
      </c>
      <c r="B60" s="242" t="s">
        <v>35</v>
      </c>
    </row>
    <row r="61" spans="1:2">
      <c r="A61" s="7" t="s">
        <v>488</v>
      </c>
      <c r="B61" s="242" t="s">
        <v>34</v>
      </c>
    </row>
    <row r="62" spans="1:2">
      <c r="A62" s="7" t="s">
        <v>489</v>
      </c>
      <c r="B62" s="242" t="s">
        <v>34</v>
      </c>
    </row>
    <row r="63" spans="1:2">
      <c r="A63" s="7" t="s">
        <v>326</v>
      </c>
      <c r="B63" s="242" t="s">
        <v>35</v>
      </c>
    </row>
    <row r="64" spans="1:2">
      <c r="A64" s="7" t="s">
        <v>490</v>
      </c>
      <c r="B64" s="242" t="s">
        <v>35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554738-FE05-446B-88D3-47E8AD698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E34BD7-2757-436D-A16E-C9ED30B88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68F162-B8C8-49AF-8E0D-9DAB1C201D6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hard tooling summary</vt:lpstr>
      <vt:lpstr>Spend Track (part)</vt:lpstr>
      <vt:lpstr>Sheet3</vt:lpstr>
      <vt:lpstr>Sheet4</vt:lpstr>
      <vt:lpstr>Sheet2</vt:lpstr>
      <vt:lpstr>Capex tracker</vt:lpstr>
      <vt:lpstr>详细信息1</vt:lpstr>
      <vt:lpstr>Capex summary Dec 2024</vt:lpstr>
      <vt:lpstr>Sheet9</vt:lpstr>
      <vt:lpstr>Sheet7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2015-06-05T18:17:20Z</dcterms:created>
  <dcterms:modified xsi:type="dcterms:W3CDTF">2025-04-05T16:01:15Z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0x01010052F5E292BDB11A4D81E8F2A181DC9AE6</vt:lpwstr>
  </property>
</Properties>
</file>