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CAA256B3-4E04-41AC-9635-F872E8F04A79}" xr6:coauthVersionLast="45" xr6:coauthVersionMax="45" xr10:uidLastSave="{00000000-0000-0000-0000-000000000000}"/>
  <bookViews>
    <workbookView xWindow="-120" yWindow="-120" windowWidth="20640" windowHeight="11160" activeTab="3" xr2:uid="{00000000-000D-0000-FFFF-FFFF00000000}"/>
  </bookViews>
  <sheets>
    <sheet name="General" sheetId="1" r:id="rId1"/>
    <sheet name="Proveedores" sheetId="2" r:id="rId2"/>
    <sheet name="Formato" sheetId="3" r:id="rId3"/>
    <sheet name="Formato 2" sheetId="8" r:id="rId4"/>
    <sheet name="Factores 2" sheetId="9" r:id="rId5"/>
    <sheet name="Variables" sheetId="4" r:id="rId6"/>
    <sheet name="Desplegable" sheetId="5" r:id="rId7"/>
    <sheet name="Factores" sheetId="6" r:id="rId8"/>
  </sheets>
  <externalReferences>
    <externalReference r:id="rId9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8" l="1"/>
  <c r="O11" i="8"/>
  <c r="Q11" i="8" s="1"/>
  <c r="S4" i="8"/>
  <c r="J12" i="8"/>
  <c r="F12" i="8"/>
  <c r="H12" i="8"/>
  <c r="I12" i="8"/>
  <c r="P11" i="8"/>
  <c r="I11" i="8" s="1"/>
  <c r="O12" i="8"/>
  <c r="I4" i="8"/>
  <c r="H4" i="8"/>
  <c r="J4" i="8" s="1"/>
  <c r="O4" i="8"/>
  <c r="P4" i="8" s="1"/>
  <c r="H5" i="8"/>
  <c r="F4" i="8"/>
  <c r="Q6" i="8"/>
  <c r="O5" i="8"/>
  <c r="O6" i="8"/>
  <c r="F11" i="8" l="1"/>
  <c r="J11" i="8"/>
  <c r="S11" i="8" s="1"/>
  <c r="Q4" i="8"/>
  <c r="R4" i="8"/>
  <c r="F5" i="8"/>
  <c r="Q5" i="8"/>
  <c r="J5" i="8"/>
  <c r="Q12" i="8"/>
  <c r="H6" i="8" l="1"/>
  <c r="J6" i="8" s="1"/>
  <c r="P5" i="8" l="1"/>
  <c r="J26" i="8"/>
  <c r="H26" i="8"/>
  <c r="H25" i="8"/>
  <c r="J25" i="8" s="1"/>
  <c r="M21" i="8"/>
  <c r="O21" i="8" s="1"/>
  <c r="H21" i="8"/>
  <c r="J21" i="8" s="1"/>
  <c r="Q20" i="8"/>
  <c r="O20" i="8"/>
  <c r="M20" i="8"/>
  <c r="J20" i="8"/>
  <c r="H20" i="8"/>
  <c r="I20" i="8" s="1"/>
  <c r="M19" i="8"/>
  <c r="O19" i="8" s="1"/>
  <c r="H19" i="8"/>
  <c r="J19" i="8" s="1"/>
  <c r="P12" i="8"/>
  <c r="F6" i="8"/>
  <c r="S20" i="8" l="1"/>
  <c r="P6" i="8"/>
  <c r="S5" i="8"/>
  <c r="I25" i="8"/>
  <c r="P25" i="8" s="1"/>
  <c r="O25" i="8" s="1"/>
  <c r="Q25" i="8" s="1"/>
  <c r="S25" i="8" s="1"/>
  <c r="R20" i="8"/>
  <c r="R5" i="8"/>
  <c r="I26" i="8"/>
  <c r="P26" i="8" s="1"/>
  <c r="O26" i="8" s="1"/>
  <c r="R26" i="8" s="1"/>
  <c r="Q19" i="8"/>
  <c r="S19" i="8" s="1"/>
  <c r="P19" i="8"/>
  <c r="Q21" i="8"/>
  <c r="S21" i="8" s="1"/>
  <c r="P21" i="8"/>
  <c r="R6" i="8"/>
  <c r="S6" i="8"/>
  <c r="I6" i="8"/>
  <c r="R12" i="8"/>
  <c r="R19" i="8"/>
  <c r="I5" i="8"/>
  <c r="I19" i="8"/>
  <c r="R21" i="8"/>
  <c r="P20" i="8"/>
  <c r="I21" i="8"/>
  <c r="O38" i="3"/>
  <c r="S38" i="3" s="1"/>
  <c r="T38" i="3"/>
  <c r="R25" i="8" l="1"/>
  <c r="M25" i="8"/>
  <c r="M26" i="8"/>
  <c r="S12" i="8"/>
  <c r="Q26" i="8"/>
  <c r="S26" i="8" s="1"/>
  <c r="R11" i="8"/>
  <c r="G43" i="3"/>
  <c r="N43" i="3"/>
  <c r="J5" i="3"/>
  <c r="K5" i="3" s="1"/>
  <c r="L39" i="6"/>
  <c r="I5" i="3" l="1"/>
  <c r="I9" i="3" l="1"/>
  <c r="I8" i="3"/>
  <c r="I7" i="3"/>
  <c r="I6" i="3"/>
  <c r="Q7" i="6" l="1"/>
  <c r="Q8" i="6" s="1"/>
  <c r="Q9" i="6" s="1"/>
  <c r="C8" i="6" l="1"/>
  <c r="D31" i="4"/>
  <c r="D32" i="4"/>
  <c r="D30" i="4"/>
  <c r="D27" i="4"/>
  <c r="H49" i="4" l="1"/>
  <c r="D18" i="4" l="1"/>
  <c r="G18" i="4" l="1"/>
  <c r="E19" i="4"/>
  <c r="E20" i="4"/>
  <c r="E18" i="4"/>
  <c r="E23" i="4" l="1"/>
  <c r="E26" i="4" s="1"/>
  <c r="E29" i="4" s="1"/>
  <c r="E32" i="4"/>
  <c r="E21" i="4"/>
  <c r="E24" i="4" s="1"/>
  <c r="E27" i="4" s="1"/>
  <c r="E30" i="4"/>
  <c r="E22" i="4"/>
  <c r="E25" i="4" s="1"/>
  <c r="E28" i="4" s="1"/>
  <c r="E31" i="4"/>
  <c r="D41" i="4"/>
  <c r="N38" i="3" l="1"/>
  <c r="O39" i="3"/>
  <c r="N39" i="3"/>
  <c r="G38" i="3"/>
  <c r="H38" i="3"/>
  <c r="H39" i="3"/>
  <c r="S39" i="3" s="1"/>
  <c r="G39" i="3"/>
  <c r="C12" i="6"/>
  <c r="D42" i="4" l="1"/>
  <c r="D43" i="4"/>
  <c r="D24" i="4"/>
  <c r="D21" i="4"/>
  <c r="D19" i="4"/>
  <c r="D20" i="4" l="1"/>
  <c r="G20" i="4" s="1"/>
  <c r="G19" i="4"/>
  <c r="D25" i="4"/>
  <c r="D28" i="4"/>
  <c r="D22" i="4"/>
  <c r="G21" i="4"/>
  <c r="G24" i="4" s="1"/>
  <c r="G27" i="4" l="1"/>
  <c r="G30" i="4" s="1"/>
  <c r="D23" i="4"/>
  <c r="G23" i="4" s="1"/>
  <c r="G22" i="4"/>
  <c r="D26" i="4"/>
  <c r="D29" i="4"/>
  <c r="G25" i="4" l="1"/>
  <c r="G28" i="4" s="1"/>
  <c r="I28" i="4"/>
  <c r="G31" i="4"/>
  <c r="I27" i="4"/>
  <c r="G26" i="4"/>
  <c r="G29" i="4" l="1"/>
  <c r="I29" i="4" l="1"/>
  <c r="G3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MRV</author>
  </authors>
  <commentList>
    <comment ref="C2" authorId="0" shapeId="0" xr:uid="{00000000-0006-0000-0300-000001000000}">
      <text>
        <r>
          <rPr>
            <sz val="9"/>
            <color indexed="81"/>
            <rFont val="Tahoma"/>
            <family val="2"/>
          </rPr>
          <t>Faltan datos para mayores potencias</t>
        </r>
      </text>
    </comment>
    <comment ref="D36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De estudio de Corpoema</t>
        </r>
      </text>
    </comment>
    <comment ref="C48" authorId="0" shapeId="0" xr:uid="{00000000-0006-0000-0300-000003000000}">
      <text>
        <r>
          <rPr>
            <sz val="9"/>
            <color indexed="81"/>
            <rFont val="Tahoma"/>
            <family val="2"/>
          </rPr>
          <t>De 98 a 11772 kW según reglamento de etiquetado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MRV</author>
  </authors>
  <commentList>
    <comment ref="D8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5.8%</t>
        </r>
      </text>
    </comment>
  </commentList>
</comments>
</file>

<file path=xl/sharedStrings.xml><?xml version="1.0" encoding="utf-8"?>
<sst xmlns="http://schemas.openxmlformats.org/spreadsheetml/2006/main" count="607" uniqueCount="235">
  <si>
    <t>Medida</t>
  </si>
  <si>
    <t>Finalidad</t>
  </si>
  <si>
    <t>Indicadores</t>
  </si>
  <si>
    <t>Fuente (s)</t>
  </si>
  <si>
    <t>Dónde:</t>
  </si>
  <si>
    <t>Promedio anual de pérdidas técnicas en la red (0.1)</t>
  </si>
  <si>
    <t>1/1000</t>
  </si>
  <si>
    <t>Factor de conversión de kWh a MWh</t>
  </si>
  <si>
    <t>Motores eléctricos</t>
  </si>
  <si>
    <r>
      <t>ER</t>
    </r>
    <r>
      <rPr>
        <vertAlign val="subscript"/>
        <sz val="11"/>
        <rFont val="Arial"/>
        <family val="2"/>
      </rPr>
      <t>y</t>
    </r>
  </si>
  <si>
    <r>
      <t xml:space="preserve">Reducción de emisiones en el año </t>
    </r>
    <r>
      <rPr>
        <i/>
        <sz val="11"/>
        <rFont val="Arial"/>
        <family val="2"/>
      </rPr>
      <t>y</t>
    </r>
    <r>
      <rPr>
        <sz val="11"/>
        <rFont val="Arial"/>
        <family val="2"/>
      </rPr>
      <t xml:space="preserve"> (tCO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/año)</t>
    </r>
  </si>
  <si>
    <r>
      <t>EC</t>
    </r>
    <r>
      <rPr>
        <vertAlign val="subscript"/>
        <sz val="11"/>
        <rFont val="Arial"/>
        <family val="2"/>
      </rPr>
      <t>BL,y</t>
    </r>
  </si>
  <si>
    <r>
      <t xml:space="preserve">Consumo de energía de la Línea Base en el año </t>
    </r>
    <r>
      <rPr>
        <i/>
        <sz val="11"/>
        <rFont val="Arial"/>
        <family val="2"/>
      </rPr>
      <t>y</t>
    </r>
    <r>
      <rPr>
        <sz val="11"/>
        <rFont val="Arial"/>
        <family val="2"/>
      </rPr>
      <t xml:space="preserve"> (kWh/año)</t>
    </r>
  </si>
  <si>
    <r>
      <t>EC</t>
    </r>
    <r>
      <rPr>
        <vertAlign val="subscript"/>
        <sz val="11"/>
        <rFont val="Arial"/>
        <family val="2"/>
      </rPr>
      <t>PJ,y</t>
    </r>
  </si>
  <si>
    <r>
      <t xml:space="preserve">Consumo de energía de las actividades de proyecto en el año </t>
    </r>
    <r>
      <rPr>
        <i/>
        <sz val="11"/>
        <rFont val="Arial"/>
        <family val="2"/>
      </rPr>
      <t>y</t>
    </r>
    <r>
      <rPr>
        <sz val="11"/>
        <rFont val="Arial"/>
        <family val="2"/>
      </rPr>
      <t xml:space="preserve"> (kWh/año)</t>
    </r>
  </si>
  <si>
    <r>
      <t>TD</t>
    </r>
    <r>
      <rPr>
        <vertAlign val="subscript"/>
        <sz val="11"/>
        <rFont val="Arial"/>
        <family val="2"/>
      </rPr>
      <t>y</t>
    </r>
  </si>
  <si>
    <r>
      <t>EF</t>
    </r>
    <r>
      <rPr>
        <vertAlign val="subscript"/>
        <sz val="11"/>
        <rFont val="Arial"/>
        <family val="2"/>
      </rPr>
      <t>y</t>
    </r>
  </si>
  <si>
    <r>
      <t>Factor de emisión de la fuente de energía (tCO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/MWh)</t>
    </r>
  </si>
  <si>
    <t>Eficiencia energética en el sector industrial</t>
  </si>
  <si>
    <t>EE en sector industrial</t>
  </si>
  <si>
    <t>Consumo eléctrico de motores</t>
  </si>
  <si>
    <r>
      <t xml:space="preserve">Esta medida de mitigación, propuesta por el Ministerio de Energía y Minas, propone la implementación de medidas de eficiencia energética en empresas del sector industrial fomentando la competitividad de la economía nacional y reduciendo el impacto ambiental negativo del uso y consumo de los energéticos como la reducción de emisiones de GEI. Esta medida se enmarca en la Ley de Promoción del Uso Eficiente de la Energía, Ley N°27345, y su Reglamento aprobado por Decreto Supremo N°053-2007-EM. Así, se prevé considerar </t>
    </r>
    <r>
      <rPr>
        <u/>
        <sz val="11"/>
        <color theme="1"/>
        <rFont val="Calibri"/>
        <family val="2"/>
        <scheme val="minor"/>
      </rPr>
      <t>el recambio de motores y calderas</t>
    </r>
    <r>
      <rPr>
        <sz val="11"/>
        <color theme="1"/>
        <rFont val="Calibri"/>
        <family val="2"/>
        <scheme val="minor"/>
      </rPr>
      <t>, una vez que se viabilice el Fondo de Financiamiento a la Eficiencia Energética (FOFEE).</t>
    </r>
  </si>
  <si>
    <t>Auditorías energéticas, SNI, PRODUCE,Calidda</t>
  </si>
  <si>
    <t>PROVEEDORES</t>
  </si>
  <si>
    <t>Diseño detallado</t>
  </si>
  <si>
    <t>Programación Tentativa Sectorial</t>
  </si>
  <si>
    <t>1. Auditorías energéticas</t>
  </si>
  <si>
    <t>1. Industrias privadas</t>
  </si>
  <si>
    <t>2. PRODUCE-MINAM (convenio de eficiencia energética)</t>
  </si>
  <si>
    <t>Etapa</t>
  </si>
  <si>
    <t>Información</t>
  </si>
  <si>
    <t>Fuente</t>
  </si>
  <si>
    <t>Responsable</t>
  </si>
  <si>
    <t>Frecuencia</t>
  </si>
  <si>
    <t>¿Requiere acuerdo?</t>
  </si>
  <si>
    <t>Auditorías voluntarias</t>
  </si>
  <si>
    <t>M</t>
  </si>
  <si>
    <t>Características de la entidad – Suministro de electricidad • Estado actual del consumo de energía (línea de base) • Análisis de los subsistemas energéticos – Equipos  consumidores – motores eléctricos.</t>
  </si>
  <si>
    <t>Empresas auditadas</t>
  </si>
  <si>
    <t>EMSEs</t>
  </si>
  <si>
    <t>Conforme se efectúen las auditorías</t>
  </si>
  <si>
    <t>Si, entre las empresas que reciban apoyo para la realización de las auditorías, las EMSEs y la DGEE</t>
  </si>
  <si>
    <t>R</t>
  </si>
  <si>
    <t>No</t>
  </si>
  <si>
    <t>V</t>
  </si>
  <si>
    <t>Reportes generados por DGEE, resultados de encuestas, procedimientos de medición, otra información de soporte</t>
  </si>
  <si>
    <t>DGEE</t>
  </si>
  <si>
    <t>Auditor externo</t>
  </si>
  <si>
    <t>Cada 3 años o según lo demanden algunas autoridades o donantes</t>
  </si>
  <si>
    <t xml:space="preserve">No </t>
  </si>
  <si>
    <t>Efecto del recambio de equipos convencionales por otros mas efcientes, principalmente motores eléctricos y calderas.</t>
  </si>
  <si>
    <t>Resultados de lasauditorías en formato MRV diseñado.</t>
  </si>
  <si>
    <t>DGEE debe insertar valores de indicadores en software MRV</t>
  </si>
  <si>
    <t>Anual</t>
  </si>
  <si>
    <t>Equipo</t>
  </si>
  <si>
    <t>Capacidad</t>
  </si>
  <si>
    <t>Clase</t>
  </si>
  <si>
    <t>Cantidad</t>
  </si>
  <si>
    <t>Año</t>
  </si>
  <si>
    <t>Fecha del registro</t>
  </si>
  <si>
    <t>Responsable del registro</t>
  </si>
  <si>
    <t>Potencia o consumo del equipo.</t>
  </si>
  <si>
    <t>A+++, B, C, etc.</t>
  </si>
  <si>
    <t>Número de unidades de este tipo, clase y descripción.</t>
  </si>
  <si>
    <t>Año al que corresponde el registro.</t>
  </si>
  <si>
    <t>DD/MM/AAAA en que se efectúa el registro en este formulario.</t>
  </si>
  <si>
    <t>Nombre del responsable del registro en este formulario.</t>
  </si>
  <si>
    <t>Motor eléctrico</t>
  </si>
  <si>
    <t>B</t>
  </si>
  <si>
    <t>Juan Perez</t>
  </si>
  <si>
    <t>Etiqueta</t>
  </si>
  <si>
    <r>
      <t xml:space="preserve">Potencia
</t>
    </r>
    <r>
      <rPr>
        <sz val="11"/>
        <color theme="1"/>
        <rFont val="Calibri"/>
        <family val="2"/>
        <scheme val="minor"/>
      </rPr>
      <t>(hp)</t>
    </r>
  </si>
  <si>
    <r>
      <t xml:space="preserve">Potencia salida
</t>
    </r>
    <r>
      <rPr>
        <sz val="11"/>
        <color theme="1"/>
        <rFont val="Calibri"/>
        <family val="2"/>
        <scheme val="minor"/>
      </rPr>
      <t>(kW)</t>
    </r>
  </si>
  <si>
    <t>Eficiencia</t>
  </si>
  <si>
    <r>
      <t xml:space="preserve">Operación diaria
</t>
    </r>
    <r>
      <rPr>
        <sz val="11"/>
        <color theme="1"/>
        <rFont val="Calibri"/>
        <family val="2"/>
        <scheme val="minor"/>
      </rPr>
      <t>(h)</t>
    </r>
  </si>
  <si>
    <r>
      <t xml:space="preserve">Consumo
</t>
    </r>
    <r>
      <rPr>
        <sz val="11"/>
        <color theme="1"/>
        <rFont val="Calibri"/>
        <family val="2"/>
        <scheme val="minor"/>
      </rPr>
      <t>(kWh/año)</t>
    </r>
  </si>
  <si>
    <t>A</t>
  </si>
  <si>
    <t>C</t>
  </si>
  <si>
    <t>DISTRIBUCIÓN DE TENECIA DE MOTORES POR POTENCIA</t>
  </si>
  <si>
    <t>1 hp</t>
  </si>
  <si>
    <t>2 hp</t>
  </si>
  <si>
    <t>5hp</t>
  </si>
  <si>
    <t>10 hp</t>
  </si>
  <si>
    <t>25 hp</t>
  </si>
  <si>
    <t>8h</t>
  </si>
  <si>
    <t>Etiqueta A (kWh/año)</t>
  </si>
  <si>
    <t>Etiqueta B (kWh/año)</t>
  </si>
  <si>
    <t>Etiqueta C (kWh/año)</t>
  </si>
  <si>
    <r>
      <t xml:space="preserve">Potencia
</t>
    </r>
    <r>
      <rPr>
        <sz val="11"/>
        <color theme="1"/>
        <rFont val="Calibri"/>
        <family val="2"/>
        <scheme val="minor"/>
      </rPr>
      <t>(kW)</t>
    </r>
  </si>
  <si>
    <r>
      <t>Calderas</t>
    </r>
    <r>
      <rPr>
        <sz val="11"/>
        <color theme="1"/>
        <rFont val="Calibri"/>
        <family val="2"/>
        <scheme val="minor"/>
      </rPr>
      <t xml:space="preserve"> (opción 1)</t>
    </r>
  </si>
  <si>
    <r>
      <t>Calderas</t>
    </r>
    <r>
      <rPr>
        <sz val="11"/>
        <color theme="1"/>
        <rFont val="Calibri"/>
        <family val="2"/>
        <scheme val="minor"/>
      </rPr>
      <t xml:space="preserve"> (opción 2)</t>
    </r>
  </si>
  <si>
    <t>Línea base</t>
  </si>
  <si>
    <t>Implementación</t>
  </si>
  <si>
    <t>Caldera</t>
  </si>
  <si>
    <t>Combustible</t>
  </si>
  <si>
    <t>Consumo anual</t>
  </si>
  <si>
    <t>Unidades</t>
  </si>
  <si>
    <r>
      <t xml:space="preserve">Capacidad
</t>
    </r>
    <r>
      <rPr>
        <sz val="11"/>
        <color theme="1"/>
        <rFont val="Calibri"/>
        <family val="2"/>
        <scheme val="minor"/>
      </rPr>
      <t>(BTU)</t>
    </r>
  </si>
  <si>
    <t>BTU</t>
  </si>
  <si>
    <t>hp</t>
  </si>
  <si>
    <t>Donde:</t>
  </si>
  <si>
    <r>
      <t>EF</t>
    </r>
    <r>
      <rPr>
        <vertAlign val="subscript"/>
        <sz val="11"/>
        <color theme="1"/>
        <rFont val="Calibri"/>
        <family val="2"/>
        <scheme val="minor"/>
      </rPr>
      <t>b,fuel,CO2</t>
    </r>
  </si>
  <si>
    <r>
      <t>NCV</t>
    </r>
    <r>
      <rPr>
        <vertAlign val="subscript"/>
        <sz val="11"/>
        <color theme="1"/>
        <rFont val="Calibri"/>
        <family val="2"/>
        <scheme val="minor"/>
      </rPr>
      <t>b,fuel</t>
    </r>
  </si>
  <si>
    <r>
      <t>FC</t>
    </r>
    <r>
      <rPr>
        <vertAlign val="subscript"/>
        <sz val="11"/>
        <color theme="1"/>
        <rFont val="Calibri"/>
        <family val="2"/>
        <scheme val="minor"/>
      </rPr>
      <t>b,y</t>
    </r>
  </si>
  <si>
    <r>
      <t>FC</t>
    </r>
    <r>
      <rPr>
        <vertAlign val="subscript"/>
        <sz val="11"/>
        <color theme="1"/>
        <rFont val="Calibri"/>
        <family val="2"/>
        <scheme val="minor"/>
      </rPr>
      <t>p,y</t>
    </r>
  </si>
  <si>
    <t>Cantidad de combustible consumido en proyecto durante un año "y" (t)</t>
  </si>
  <si>
    <r>
      <t>NCV</t>
    </r>
    <r>
      <rPr>
        <vertAlign val="subscript"/>
        <sz val="11"/>
        <color theme="1"/>
        <rFont val="Calibri"/>
        <family val="2"/>
        <scheme val="minor"/>
      </rPr>
      <t>p,fuel</t>
    </r>
  </si>
  <si>
    <r>
      <t>EF</t>
    </r>
    <r>
      <rPr>
        <vertAlign val="subscript"/>
        <sz val="11"/>
        <color theme="1"/>
        <rFont val="Calibri"/>
        <family val="2"/>
        <scheme val="minor"/>
      </rPr>
      <t>p,fuel,CO2</t>
    </r>
  </si>
  <si>
    <r>
      <t>EF</t>
    </r>
    <r>
      <rPr>
        <vertAlign val="subscript"/>
        <sz val="11"/>
        <color theme="1"/>
        <rFont val="Calibri"/>
        <family val="2"/>
        <scheme val="minor"/>
      </rPr>
      <t>b,fuel,CH4</t>
    </r>
  </si>
  <si>
    <r>
      <t>EF</t>
    </r>
    <r>
      <rPr>
        <vertAlign val="subscript"/>
        <sz val="11"/>
        <color theme="1"/>
        <rFont val="Calibri"/>
        <family val="2"/>
        <scheme val="minor"/>
      </rPr>
      <t>b,fuel,N2O</t>
    </r>
  </si>
  <si>
    <t>Factor de emisión de CH4 del combustible de línea base</t>
  </si>
  <si>
    <t>Factor de emisión de N2O del combustible de línea base</t>
  </si>
  <si>
    <t>Factor de emisión de CH4 del combustible de proyecto</t>
  </si>
  <si>
    <t>Factor de emisión de N2O del combustible de proyecto</t>
  </si>
  <si>
    <r>
      <t>ER</t>
    </r>
    <r>
      <rPr>
        <vertAlign val="subscript"/>
        <sz val="16"/>
        <color theme="1"/>
        <rFont val="Calibri"/>
        <family val="2"/>
        <scheme val="minor"/>
      </rPr>
      <t>y</t>
    </r>
    <r>
      <rPr>
        <sz val="16"/>
        <color theme="1"/>
        <rFont val="Calibri"/>
        <family val="2"/>
        <scheme val="minor"/>
      </rPr>
      <t xml:space="preserve"> = </t>
    </r>
    <r>
      <rPr>
        <sz val="16"/>
        <color theme="1"/>
        <rFont val="Calibri"/>
        <family val="2"/>
      </rPr>
      <t>[</t>
    </r>
    <r>
      <rPr>
        <sz val="16"/>
        <color theme="1"/>
        <rFont val="Calibri"/>
        <family val="2"/>
        <scheme val="minor"/>
      </rPr>
      <t>FC</t>
    </r>
    <r>
      <rPr>
        <vertAlign val="subscript"/>
        <sz val="16"/>
        <color theme="1"/>
        <rFont val="Calibri"/>
        <family val="2"/>
        <scheme val="minor"/>
      </rPr>
      <t>b,y</t>
    </r>
    <r>
      <rPr>
        <sz val="16"/>
        <color theme="1"/>
        <rFont val="Calibri"/>
        <family val="2"/>
        <scheme val="minor"/>
      </rPr>
      <t xml:space="preserve"> ∙ NCV</t>
    </r>
    <r>
      <rPr>
        <vertAlign val="subscript"/>
        <sz val="16"/>
        <color theme="1"/>
        <rFont val="Calibri"/>
        <family val="2"/>
        <scheme val="minor"/>
      </rPr>
      <t>b,fuel ∙</t>
    </r>
    <r>
      <rPr>
        <sz val="16"/>
        <color theme="1"/>
        <rFont val="Calibri"/>
        <family val="2"/>
        <scheme val="minor"/>
      </rPr>
      <t xml:space="preserve"> (EF</t>
    </r>
    <r>
      <rPr>
        <vertAlign val="subscript"/>
        <sz val="16"/>
        <color theme="1"/>
        <rFont val="Calibri"/>
        <family val="2"/>
        <scheme val="minor"/>
      </rPr>
      <t xml:space="preserve">b,fuel,CO2 </t>
    </r>
    <r>
      <rPr>
        <sz val="16"/>
        <color theme="1"/>
        <rFont val="Calibri"/>
        <family val="2"/>
        <scheme val="minor"/>
      </rPr>
      <t>+</t>
    </r>
    <r>
      <rPr>
        <vertAlign val="subscript"/>
        <sz val="16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EF</t>
    </r>
    <r>
      <rPr>
        <vertAlign val="subscript"/>
        <sz val="16"/>
        <color theme="1"/>
        <rFont val="Calibri"/>
        <family val="2"/>
        <scheme val="minor"/>
      </rPr>
      <t xml:space="preserve">b,fuel,CH4 </t>
    </r>
    <r>
      <rPr>
        <sz val="16"/>
        <color theme="1"/>
        <rFont val="Calibri"/>
        <family val="2"/>
        <scheme val="minor"/>
      </rPr>
      <t>∙</t>
    </r>
    <r>
      <rPr>
        <vertAlign val="subscript"/>
        <sz val="16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PCG</t>
    </r>
    <r>
      <rPr>
        <vertAlign val="subscript"/>
        <sz val="16"/>
        <color theme="1"/>
        <rFont val="Calibri"/>
        <family val="2"/>
        <scheme val="minor"/>
      </rPr>
      <t xml:space="preserve">CH4 </t>
    </r>
    <r>
      <rPr>
        <sz val="16"/>
        <color theme="1"/>
        <rFont val="Calibri"/>
        <family val="2"/>
        <scheme val="minor"/>
      </rPr>
      <t>+</t>
    </r>
    <r>
      <rPr>
        <vertAlign val="subscript"/>
        <sz val="16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EF</t>
    </r>
    <r>
      <rPr>
        <vertAlign val="subscript"/>
        <sz val="16"/>
        <color theme="1"/>
        <rFont val="Calibri"/>
        <family val="2"/>
        <scheme val="minor"/>
      </rPr>
      <t xml:space="preserve">b,fuel,N2O </t>
    </r>
    <r>
      <rPr>
        <sz val="16"/>
        <color theme="1"/>
        <rFont val="Calibri"/>
        <family val="2"/>
        <scheme val="minor"/>
      </rPr>
      <t>∙</t>
    </r>
    <r>
      <rPr>
        <vertAlign val="subscript"/>
        <sz val="16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PCG</t>
    </r>
    <r>
      <rPr>
        <vertAlign val="subscript"/>
        <sz val="16"/>
        <color theme="1"/>
        <rFont val="Calibri"/>
        <family val="2"/>
        <scheme val="minor"/>
      </rPr>
      <t>N2O</t>
    </r>
    <r>
      <rPr>
        <sz val="16"/>
        <color theme="1"/>
        <rFont val="Calibri"/>
        <family val="2"/>
        <scheme val="minor"/>
      </rPr>
      <t>)</t>
    </r>
    <r>
      <rPr>
        <sz val="16"/>
        <color theme="1"/>
        <rFont val="Calibri"/>
        <family val="2"/>
      </rPr>
      <t>]</t>
    </r>
    <r>
      <rPr>
        <sz val="16"/>
        <color theme="1"/>
        <rFont val="Calibri"/>
        <family val="2"/>
        <scheme val="minor"/>
      </rPr>
      <t xml:space="preserve"> - </t>
    </r>
    <r>
      <rPr>
        <sz val="16"/>
        <color theme="1"/>
        <rFont val="Calibri"/>
        <family val="2"/>
      </rPr>
      <t>[</t>
    </r>
    <r>
      <rPr>
        <sz val="16"/>
        <color theme="1"/>
        <rFont val="Calibri"/>
        <family val="2"/>
        <scheme val="minor"/>
      </rPr>
      <t>FC</t>
    </r>
    <r>
      <rPr>
        <vertAlign val="subscript"/>
        <sz val="16"/>
        <color theme="1"/>
        <rFont val="Calibri"/>
        <family val="2"/>
        <scheme val="minor"/>
      </rPr>
      <t>p,y</t>
    </r>
    <r>
      <rPr>
        <sz val="16"/>
        <color theme="1"/>
        <rFont val="Calibri"/>
        <family val="2"/>
        <scheme val="minor"/>
      </rPr>
      <t xml:space="preserve"> ∙ NCV</t>
    </r>
    <r>
      <rPr>
        <vertAlign val="subscript"/>
        <sz val="16"/>
        <color theme="1"/>
        <rFont val="Calibri"/>
        <family val="2"/>
        <scheme val="minor"/>
      </rPr>
      <t>p,fuel</t>
    </r>
    <r>
      <rPr>
        <sz val="16"/>
        <color theme="1"/>
        <rFont val="Calibri"/>
        <family val="2"/>
        <scheme val="minor"/>
      </rPr>
      <t xml:space="preserve"> ∙ (EF</t>
    </r>
    <r>
      <rPr>
        <vertAlign val="subscript"/>
        <sz val="16"/>
        <color theme="1"/>
        <rFont val="Calibri"/>
        <family val="2"/>
        <scheme val="minor"/>
      </rPr>
      <t>p,fuel,CO2</t>
    </r>
    <r>
      <rPr>
        <sz val="16"/>
        <color theme="1"/>
        <rFont val="Calibri"/>
        <family val="2"/>
        <scheme val="minor"/>
      </rPr>
      <t xml:space="preserve"> + EF</t>
    </r>
    <r>
      <rPr>
        <vertAlign val="subscript"/>
        <sz val="16"/>
        <color theme="1"/>
        <rFont val="Calibri"/>
        <family val="2"/>
        <scheme val="minor"/>
      </rPr>
      <t>p,fuel,CH4</t>
    </r>
    <r>
      <rPr>
        <sz val="16"/>
        <color theme="1"/>
        <rFont val="Calibri"/>
        <family val="2"/>
        <scheme val="minor"/>
      </rPr>
      <t xml:space="preserve"> ∙ PCG</t>
    </r>
    <r>
      <rPr>
        <vertAlign val="subscript"/>
        <sz val="16"/>
        <color theme="1"/>
        <rFont val="Calibri"/>
        <family val="2"/>
        <scheme val="minor"/>
      </rPr>
      <t>CH4</t>
    </r>
    <r>
      <rPr>
        <sz val="16"/>
        <color theme="1"/>
        <rFont val="Calibri"/>
        <family val="2"/>
        <scheme val="minor"/>
      </rPr>
      <t xml:space="preserve"> + EF</t>
    </r>
    <r>
      <rPr>
        <vertAlign val="subscript"/>
        <sz val="16"/>
        <color theme="1"/>
        <rFont val="Calibri"/>
        <family val="2"/>
        <scheme val="minor"/>
      </rPr>
      <t>p,fuel,N2O</t>
    </r>
    <r>
      <rPr>
        <sz val="16"/>
        <color theme="1"/>
        <rFont val="Calibri"/>
        <family val="2"/>
        <scheme val="minor"/>
      </rPr>
      <t xml:space="preserve"> ∙ PCG</t>
    </r>
    <r>
      <rPr>
        <vertAlign val="subscript"/>
        <sz val="16"/>
        <color theme="1"/>
        <rFont val="Calibri"/>
        <family val="2"/>
        <scheme val="minor"/>
      </rPr>
      <t>N2O</t>
    </r>
    <r>
      <rPr>
        <sz val="16"/>
        <color theme="1"/>
        <rFont val="Calibri"/>
        <family val="2"/>
        <scheme val="minor"/>
      </rPr>
      <t>)</t>
    </r>
    <r>
      <rPr>
        <sz val="16"/>
        <color theme="1"/>
        <rFont val="Calibri"/>
        <family val="2"/>
      </rPr>
      <t>]</t>
    </r>
  </si>
  <si>
    <r>
      <t>ER</t>
    </r>
    <r>
      <rPr>
        <vertAlign val="subscript"/>
        <sz val="11"/>
        <color theme="1"/>
        <rFont val="Calibri"/>
        <family val="2"/>
        <scheme val="minor"/>
      </rPr>
      <t>y</t>
    </r>
  </si>
  <si>
    <r>
      <t>PCG</t>
    </r>
    <r>
      <rPr>
        <vertAlign val="subscript"/>
        <sz val="11"/>
        <color theme="1"/>
        <rFont val="Calibri"/>
        <family val="2"/>
        <scheme val="minor"/>
      </rPr>
      <t>CH4</t>
    </r>
  </si>
  <si>
    <r>
      <t>PCG</t>
    </r>
    <r>
      <rPr>
        <vertAlign val="subscript"/>
        <sz val="11"/>
        <color theme="1"/>
        <rFont val="Calibri"/>
        <family val="2"/>
        <scheme val="minor"/>
      </rPr>
      <t>N2O</t>
    </r>
  </si>
  <si>
    <t>Potencial de Calentamiento Global del metano</t>
  </si>
  <si>
    <t>Potencial de Calentamiento Global del óxido nitroso</t>
  </si>
  <si>
    <r>
      <t>EF</t>
    </r>
    <r>
      <rPr>
        <vertAlign val="subscript"/>
        <sz val="11"/>
        <color theme="1"/>
        <rFont val="Calibri"/>
        <family val="2"/>
        <scheme val="minor"/>
      </rPr>
      <t>p,fuel,CH4</t>
    </r>
  </si>
  <si>
    <r>
      <t>EF</t>
    </r>
    <r>
      <rPr>
        <vertAlign val="subscript"/>
        <sz val="11"/>
        <color theme="1"/>
        <rFont val="Calibri"/>
        <family val="2"/>
        <scheme val="minor"/>
      </rPr>
      <t>p,fuel,N2O</t>
    </r>
  </si>
  <si>
    <r>
      <t>Metodología</t>
    </r>
    <r>
      <rPr>
        <sz val="12"/>
        <color theme="1"/>
        <rFont val="Eras Medium ITC"/>
        <family val="2"/>
      </rPr>
      <t xml:space="preserve"> (</t>
    </r>
    <r>
      <rPr>
        <u/>
        <sz val="12"/>
        <color theme="1"/>
        <rFont val="Eras Medium ITC"/>
        <family val="2"/>
      </rPr>
      <t>motores eléctricos</t>
    </r>
    <r>
      <rPr>
        <sz val="12"/>
        <color theme="1"/>
        <rFont val="Eras Medium ITC"/>
        <family val="2"/>
      </rPr>
      <t xml:space="preserve"> u otros que consuman electricidad)</t>
    </r>
  </si>
  <si>
    <r>
      <t>Metodología</t>
    </r>
    <r>
      <rPr>
        <sz val="12"/>
        <color theme="1"/>
        <rFont val="Eras Medium ITC"/>
        <family val="2"/>
      </rPr>
      <t xml:space="preserve"> (</t>
    </r>
    <r>
      <rPr>
        <u/>
        <sz val="12"/>
        <color theme="1"/>
        <rFont val="Eras Medium ITC"/>
        <family val="2"/>
      </rPr>
      <t>calderas</t>
    </r>
    <r>
      <rPr>
        <sz val="12"/>
        <color theme="1"/>
        <rFont val="Eras Medium ITC"/>
        <family val="2"/>
      </rPr>
      <t xml:space="preserve"> u otros que consuman combustibles fósiles)</t>
    </r>
  </si>
  <si>
    <t>BaU</t>
  </si>
  <si>
    <t>Mitigación</t>
  </si>
  <si>
    <t>B, C, etc.</t>
  </si>
  <si>
    <t>Pérdidas por Transmisión y Distribución (TDy)</t>
  </si>
  <si>
    <t>TDy</t>
  </si>
  <si>
    <t>http://www.minem.gob.pe/minem/archivos/Cap%C3%83%C2%ADtulo1_-%20Balance%20y%20Principales%20Indicadores%20El%C3%83%C2%A9ctricos%202010%20(2).pdf</t>
  </si>
  <si>
    <t>http://www.minem.gob.pe/minem/archivos/Cap_1_%20%20Balance%20y%20Principales%20Indicadores%202011.pdf</t>
  </si>
  <si>
    <t>http://www.minem.gob.pe/minem/archivos/Capitulo%201%20%20Balance%20y%20Principales%20Indicadores%202012.pdf</t>
  </si>
  <si>
    <t>http://www.minem.gob.pe/minem/archivos/Capitulo%201%20%20Balance%20y%20Principales%20Indicadores%202013.pdf</t>
  </si>
  <si>
    <t>http://www.minem.gob.pe/minem/archivos/BALANCE%20E%20INDICADORES%202014.pdf</t>
  </si>
  <si>
    <t>http://www.minem.gob.pe/minem/archivos/Capitulo%201%20Indicadores%20FINAL.pdf</t>
  </si>
  <si>
    <t>http://www.minem.gob.pe/minem/archivos/Capitulo%201%20%20Balance%20e%20Indicadores%202016.pdf</t>
  </si>
  <si>
    <t>http://www.minem.gob.pe/minem/archivos/Capitulo%201%20Balance%20e%20Indicadores%202017.pdf</t>
  </si>
  <si>
    <r>
      <t>Factor de emisión (EFy) de la fuente de energía (tCO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/MWh)</t>
    </r>
  </si>
  <si>
    <t>EFy (S/E)</t>
  </si>
  <si>
    <t>EFy (mH)</t>
  </si>
  <si>
    <t>Validation report for: “Emission factor calculation for the National Interconnected Electricity System of Peru (SEIN)”</t>
  </si>
  <si>
    <r>
      <t xml:space="preserve">Fomentar la competitividad de la economía nacional y reducir el impacto ambiental negativo del uso y consumo de los energéticos mediante la Ley de Promoción del Uso Eficiente de la Energía – Ley N°27345 y su Reglamento, aprobado por Decreto Supremo N°053-2007-EM. Aplica solo para </t>
    </r>
    <r>
      <rPr>
        <b/>
        <sz val="11"/>
        <color theme="1"/>
        <rFont val="Calibri"/>
        <family val="2"/>
        <scheme val="minor"/>
      </rPr>
      <t>motores eléctricos</t>
    </r>
    <r>
      <rPr>
        <sz val="11"/>
        <color theme="1"/>
        <rFont val="Calibri"/>
        <family val="2"/>
        <scheme val="minor"/>
      </rPr>
      <t xml:space="preserve">. Calderas entra en el grupo de abajo. </t>
    </r>
    <r>
      <rPr>
        <sz val="11"/>
        <color rgb="FFFF0000"/>
        <rFont val="Calibri"/>
        <family val="2"/>
        <scheme val="minor"/>
      </rPr>
      <t>Recomendación: incluir otros equipos eficientes que pueden ser remplazados a traves de auditorías, lineas de financiamiento (POR EJEMPLO COFIDE, FOFEE) y sello.</t>
    </r>
  </si>
  <si>
    <t>VCN</t>
  </si>
  <si>
    <t>Residual</t>
  </si>
  <si>
    <t>Gasolina</t>
  </si>
  <si>
    <t>Diesel</t>
  </si>
  <si>
    <t>Gas Natural</t>
  </si>
  <si>
    <t>GLP</t>
  </si>
  <si>
    <t>Biocombustible</t>
  </si>
  <si>
    <t>Valor calórico neto de combustibles</t>
  </si>
  <si>
    <t>Factores de emisión IPCC</t>
  </si>
  <si>
    <r>
      <t>kgCO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/TJ</t>
    </r>
  </si>
  <si>
    <r>
      <t>kgCH</t>
    </r>
    <r>
      <rPr>
        <b/>
        <vertAlign val="subscript"/>
        <sz val="10"/>
        <color theme="1"/>
        <rFont val="Arial"/>
        <family val="2"/>
      </rPr>
      <t>4</t>
    </r>
    <r>
      <rPr>
        <b/>
        <sz val="10"/>
        <color theme="1"/>
        <rFont val="Arial"/>
        <family val="2"/>
      </rPr>
      <t>/TJ</t>
    </r>
  </si>
  <si>
    <r>
      <t>kgN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O/TJ</t>
    </r>
  </si>
  <si>
    <r>
      <t>kgCO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e/TJ</t>
    </r>
  </si>
  <si>
    <t>GEI</t>
  </si>
  <si>
    <t>AR2</t>
  </si>
  <si>
    <t>AR4</t>
  </si>
  <si>
    <t>AR5</t>
  </si>
  <si>
    <r>
      <t>CO</t>
    </r>
    <r>
      <rPr>
        <vertAlign val="subscript"/>
        <sz val="10"/>
        <color theme="1"/>
        <rFont val="Arial"/>
        <family val="2"/>
      </rPr>
      <t>2</t>
    </r>
  </si>
  <si>
    <r>
      <t>CH</t>
    </r>
    <r>
      <rPr>
        <vertAlign val="subscript"/>
        <sz val="10"/>
        <color theme="1"/>
        <rFont val="Arial"/>
        <family val="2"/>
      </rPr>
      <t>4</t>
    </r>
  </si>
  <si>
    <r>
      <t>N</t>
    </r>
    <r>
      <rPr>
        <vertAlign val="subscript"/>
        <sz val="10"/>
        <color theme="1"/>
        <rFont val="Arial"/>
        <family val="2"/>
      </rPr>
      <t>2</t>
    </r>
    <r>
      <rPr>
        <sz val="11"/>
        <color theme="1"/>
        <rFont val="Calibri"/>
        <family val="2"/>
        <scheme val="minor"/>
      </rPr>
      <t>O</t>
    </r>
  </si>
  <si>
    <t>Fuente: Global Warming Potential Values - GHG Protocol</t>
  </si>
  <si>
    <t>https://www.ghgprotocol.org/sites/default/files/ghgp/Global-Warming-Potential-Values%20%28Feb%2016%202016%29_1.pdf</t>
  </si>
  <si>
    <t>Potencial de Calentamiento Global</t>
  </si>
  <si>
    <t>Indicar el combustible o energía que se consume antes de la iniciativa</t>
  </si>
  <si>
    <t>Indicar el combustible o energía que se consume por la iniciativa</t>
  </si>
  <si>
    <t>Cantidad de combustible que se consumió durante un año de operaciones</t>
  </si>
  <si>
    <t>Refiere a las unidades del energético consumido</t>
  </si>
  <si>
    <t>Cantidad (unidades) de producto específico producido</t>
  </si>
  <si>
    <t>Unidades de consumo</t>
  </si>
  <si>
    <t>gal</t>
  </si>
  <si>
    <t>m3</t>
  </si>
  <si>
    <t>l</t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</si>
  <si>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</si>
  <si>
    <t xml:space="preserve">Cantidad de combustible consumido en la Línea de Base b durante un año "y" </t>
  </si>
  <si>
    <r>
      <t>Emisiones reducidas durante el año "y" en tCO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</t>
    </r>
  </si>
  <si>
    <r>
      <t>Factor de emisión de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del combustible de línea base</t>
    </r>
  </si>
  <si>
    <r>
      <t>Factor de emisión de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del combustible de proyecto</t>
    </r>
  </si>
  <si>
    <t>Unidad funcional</t>
  </si>
  <si>
    <t>Producción por cada TJ consumido</t>
  </si>
  <si>
    <t>Indicador energético de producción
(unidades/TJ)</t>
  </si>
  <si>
    <t>¿Que es mejor, lo de arriba o abajo?</t>
  </si>
  <si>
    <t xml:space="preserve">Valor Calorífico Neto del combustible </t>
  </si>
  <si>
    <t>Fuente: Evaluación del Impacto del Reglamento Técnico sobre el Etiquetado de Eficiencia Energética para Equipos Energéticos (Entregable final).</t>
  </si>
  <si>
    <t>Fuente: RAGEI 2016</t>
  </si>
  <si>
    <t>Fuente: Directrices IPCC 2006</t>
  </si>
  <si>
    <t>Fuente (gas natural): Calculos propios</t>
  </si>
  <si>
    <t>Fuente: VALIDATION REPORT FOR “Emission factor calculation for the National Interconnected Electricity System of Peru (SEIN)”</t>
  </si>
  <si>
    <r>
      <t xml:space="preserve">Emisiones de GEI reducidas
</t>
    </r>
    <r>
      <rPr>
        <sz val="11"/>
        <color theme="0"/>
        <rFont val="Arial"/>
        <family val="2"/>
      </rPr>
      <t>(tCO</t>
    </r>
    <r>
      <rPr>
        <vertAlign val="subscript"/>
        <sz val="11"/>
        <color theme="0"/>
        <rFont val="Arial"/>
        <family val="2"/>
      </rPr>
      <t>2</t>
    </r>
    <r>
      <rPr>
        <sz val="11"/>
        <color theme="0"/>
        <rFont val="Arial"/>
        <family val="2"/>
      </rPr>
      <t>e)</t>
    </r>
  </si>
  <si>
    <t>Emisiones que se evitaron</t>
  </si>
  <si>
    <t>Botellas de vidrio de 1000 ml</t>
  </si>
  <si>
    <t>Papel bond A4 (500 - 75g)</t>
  </si>
  <si>
    <t>Producción anual</t>
  </si>
  <si>
    <t>Unidad funcional (UF)</t>
  </si>
  <si>
    <t>Emisiones de GEI por cada unidad funcional</t>
  </si>
  <si>
    <t>Indicador energético de producción
(UF/TJ)</t>
  </si>
  <si>
    <t>Emisiones GEI.UF
(gCO2e/UF)</t>
  </si>
  <si>
    <t>Potencia (hp)</t>
  </si>
  <si>
    <t>TJ/gal</t>
  </si>
  <si>
    <t>TJ/m3</t>
  </si>
  <si>
    <r>
      <t xml:space="preserve">Energía ahorrada
</t>
    </r>
    <r>
      <rPr>
        <sz val="11"/>
        <color theme="0"/>
        <rFont val="Arial"/>
        <family val="2"/>
      </rPr>
      <t>(MWh)</t>
    </r>
  </si>
  <si>
    <r>
      <t xml:space="preserve">Energía ahorrada
</t>
    </r>
    <r>
      <rPr>
        <sz val="11"/>
        <color theme="0"/>
        <rFont val="Arial"/>
        <family val="2"/>
      </rPr>
      <t>(MJ)</t>
    </r>
  </si>
  <si>
    <t>Energía que se ahorró</t>
  </si>
  <si>
    <t>Equivalencias</t>
  </si>
  <si>
    <t>kWh</t>
  </si>
  <si>
    <t>kJ</t>
  </si>
  <si>
    <t>MJ</t>
  </si>
  <si>
    <t>MJ/UF</t>
  </si>
  <si>
    <t>Acción de mitigación</t>
  </si>
  <si>
    <r>
      <t xml:space="preserve">Eficiencia Línea base
</t>
    </r>
    <r>
      <rPr>
        <sz val="11"/>
        <color theme="1"/>
        <rFont val="Calibri"/>
        <family val="2"/>
        <scheme val="minor"/>
      </rPr>
      <t>(%)</t>
    </r>
  </si>
  <si>
    <t>Consumo línea base</t>
  </si>
  <si>
    <r>
      <t xml:space="preserve">Consumo línea base
</t>
    </r>
    <r>
      <rPr>
        <sz val="11"/>
        <color theme="1"/>
        <rFont val="Calibri"/>
        <family val="2"/>
        <scheme val="minor"/>
      </rPr>
      <t>(MJ)</t>
    </r>
  </si>
  <si>
    <r>
      <t xml:space="preserve">Energía útil
</t>
    </r>
    <r>
      <rPr>
        <sz val="11"/>
        <color theme="1"/>
        <rFont val="Calibri"/>
        <family val="2"/>
        <scheme val="minor"/>
      </rPr>
      <t>(MJ)</t>
    </r>
  </si>
  <si>
    <r>
      <t xml:space="preserve">Emisiones GEI
</t>
    </r>
    <r>
      <rPr>
        <sz val="11"/>
        <color theme="1"/>
        <rFont val="Calibri"/>
        <family val="2"/>
        <scheme val="minor"/>
      </rPr>
      <t>(tCO2eq)</t>
    </r>
  </si>
  <si>
    <r>
      <t xml:space="preserve">Eficiencia de Acción
</t>
    </r>
    <r>
      <rPr>
        <sz val="11"/>
        <color theme="1"/>
        <rFont val="Calibri"/>
        <family val="2"/>
        <scheme val="minor"/>
      </rPr>
      <t>(%)</t>
    </r>
  </si>
  <si>
    <t>Consumo Acción</t>
  </si>
  <si>
    <r>
      <t xml:space="preserve">Consumo Acción
</t>
    </r>
    <r>
      <rPr>
        <sz val="11"/>
        <color theme="1"/>
        <rFont val="Calibri"/>
        <family val="2"/>
        <scheme val="minor"/>
      </rPr>
      <t>(MJ)</t>
    </r>
  </si>
  <si>
    <r>
      <t xml:space="preserve">Energía ahorrada
</t>
    </r>
    <r>
      <rPr>
        <sz val="11"/>
        <color theme="1"/>
        <rFont val="Calibri"/>
        <family val="2"/>
        <scheme val="minor"/>
      </rPr>
      <t>(MJ)</t>
    </r>
  </si>
  <si>
    <r>
      <t xml:space="preserve">Emisiones reducidas
</t>
    </r>
    <r>
      <rPr>
        <sz val="11"/>
        <color theme="1"/>
        <rFont val="Calibri"/>
        <family val="2"/>
        <scheme val="minor"/>
      </rPr>
      <t>(tCO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eq)</t>
    </r>
  </si>
  <si>
    <t>Gas natural</t>
  </si>
  <si>
    <t>Tipo de combustible</t>
  </si>
  <si>
    <t>Unidad</t>
  </si>
  <si>
    <t xml:space="preserve"> Tipo de combustible</t>
  </si>
  <si>
    <r>
      <t xml:space="preserve">FE por defecto </t>
    </r>
    <r>
      <rPr>
        <sz val="10"/>
        <color theme="1"/>
        <rFont val="Arial"/>
        <family val="2"/>
      </rPr>
      <t>(kgCO2/MJ)</t>
    </r>
  </si>
  <si>
    <r>
      <t xml:space="preserve">FE por defecto </t>
    </r>
    <r>
      <rPr>
        <sz val="10"/>
        <color theme="1"/>
        <rFont val="Arial"/>
        <family val="2"/>
      </rPr>
      <t>(kgCH4/MJ)</t>
    </r>
  </si>
  <si>
    <r>
      <t xml:space="preserve">FE por defecto </t>
    </r>
    <r>
      <rPr>
        <sz val="10"/>
        <color theme="1"/>
        <rFont val="Arial"/>
        <family val="2"/>
      </rPr>
      <t>(kgN2O/MJ)</t>
    </r>
  </si>
  <si>
    <t>MJ/gal</t>
  </si>
  <si>
    <t>CO2</t>
  </si>
  <si>
    <t>CH4</t>
  </si>
  <si>
    <t>MJ/m3</t>
  </si>
  <si>
    <t>N2O</t>
  </si>
  <si>
    <t>Diesel DB5</t>
  </si>
  <si>
    <t>Diesel B5</t>
  </si>
  <si>
    <r>
      <t xml:space="preserve">Capacidad </t>
    </r>
    <r>
      <rPr>
        <sz val="11"/>
        <color theme="1"/>
        <rFont val="Calibri"/>
        <family val="2"/>
        <scheme val="minor"/>
      </rPr>
      <t>(BHP)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</si>
</sst>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 * #,##0.00_ ;_ * \-#,##0.00_ ;_ * &quot;-&quot;??_ ;_ @_ "/>
    <numFmt numFmtId="165" formatCode="0.0%"/>
    <numFmt numFmtId="166" formatCode="_ * #,##0_ ;_ * \-#,##0_ ;_ * &quot;-&quot;??_ ;_ @_ "/>
    <numFmt numFmtId="167" formatCode="_ * #,##0.0_ ;_ * \-#,##0.0_ ;_ * &quot;-&quot;?_ ;_ @_ "/>
    <numFmt numFmtId="168" formatCode="_ * #,##0.0000_ ;_ * \-#,##0.0000_ ;_ * &quot;-&quot;??_ ;_ @_ "/>
    <numFmt numFmtId="169" formatCode="_ * #,##0.0_ ;_ * \-#,##0.0_ ;_ * &quot;-&quot;??_ ;_ @_ "/>
    <numFmt numFmtId="170" formatCode="_-* #,##0_-;\-* #,##0_-;_-* &quot;-&quot;??_-;_-@_-"/>
    <numFmt numFmtId="171" formatCode="_-* #,##0.0_-;\-* #,##0.0_-;_-* &quot;-&quot;??_-;_-@_-"/>
    <numFmt numFmtId="172" formatCode="_-* #,##0.0000_-;\-* #,##0.0000_-;_-* &quot;-&quot;??_-;_-@_-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2"/>
      <color theme="1"/>
      <name val="Eras Medium ITC"/>
      <family val="2"/>
    </font>
    <font>
      <sz val="11"/>
      <name val="Calibri"/>
      <family val="2"/>
      <scheme val="minor"/>
    </font>
    <font>
      <vertAlign val="subscript"/>
      <sz val="11"/>
      <name val="Arial"/>
      <family val="2"/>
    </font>
    <font>
      <i/>
      <sz val="11"/>
      <name val="Arial"/>
      <family val="2"/>
    </font>
    <font>
      <sz val="11"/>
      <name val="Arial"/>
      <family val="2"/>
    </font>
    <font>
      <b/>
      <sz val="9"/>
      <color rgb="FFFFFFFF"/>
      <name val="Arial"/>
      <family val="2"/>
    </font>
    <font>
      <b/>
      <sz val="9"/>
      <color rgb="FF003657"/>
      <name val="Arial"/>
      <family val="2"/>
    </font>
    <font>
      <sz val="9"/>
      <color rgb="FF003657"/>
      <name val="Arial"/>
      <family val="2"/>
    </font>
    <font>
      <b/>
      <sz val="11"/>
      <color theme="0"/>
      <name val="Arial"/>
      <family val="2"/>
    </font>
    <font>
      <u/>
      <sz val="11"/>
      <color theme="10"/>
      <name val="Calibri"/>
      <family val="2"/>
      <scheme val="minor"/>
    </font>
    <font>
      <i/>
      <sz val="9"/>
      <name val="Arial"/>
      <family val="2"/>
    </font>
    <font>
      <sz val="11"/>
      <color theme="1"/>
      <name val="Arial"/>
      <family val="2"/>
    </font>
    <font>
      <sz val="9"/>
      <color indexed="81"/>
      <name val="Tahoma"/>
      <family val="2"/>
    </font>
    <font>
      <u/>
      <sz val="12"/>
      <color theme="1"/>
      <name val="Eras Medium ITC"/>
      <family val="2"/>
    </font>
    <font>
      <sz val="12"/>
      <color theme="1"/>
      <name val="Eras Medium ITC"/>
      <family val="2"/>
    </font>
    <font>
      <sz val="16"/>
      <color theme="1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6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vertAlign val="subscript"/>
      <sz val="10"/>
      <color theme="1"/>
      <name val="Arial"/>
      <family val="2"/>
    </font>
    <font>
      <vertAlign val="subscript"/>
      <sz val="10"/>
      <color theme="1"/>
      <name val="Arial"/>
      <family val="2"/>
    </font>
    <font>
      <sz val="10"/>
      <color theme="1"/>
      <name val="Arial"/>
      <family val="2"/>
    </font>
    <font>
      <vertAlign val="superscript"/>
      <sz val="11"/>
      <color theme="1"/>
      <name val="Calibri"/>
      <family val="2"/>
      <scheme val="minor"/>
    </font>
    <font>
      <vertAlign val="subscript"/>
      <sz val="11"/>
      <name val="Calibri"/>
      <family val="2"/>
      <scheme val="minor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Arial"/>
      <family val="2"/>
    </font>
    <font>
      <vertAlign val="subscript"/>
      <sz val="11"/>
      <color theme="0"/>
      <name val="Arial"/>
      <family val="2"/>
    </font>
    <font>
      <b/>
      <sz val="11"/>
      <color theme="1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BEAF"/>
        <bgColor indexed="64"/>
      </patternFill>
    </fill>
    <fill>
      <patternFill patternType="solid">
        <fgColor rgb="FF00365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4D2F2"/>
        <bgColor indexed="64"/>
      </patternFill>
    </fill>
    <fill>
      <patternFill patternType="solid">
        <fgColor rgb="FFD9EBCD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4BFF4B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B95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rgb="FFFFFFFF"/>
      </right>
      <top/>
      <bottom/>
      <diagonal/>
    </border>
    <border>
      <left style="dotted">
        <color rgb="FFFFFFFF"/>
      </left>
      <right/>
      <top/>
      <bottom/>
      <diagonal/>
    </border>
    <border>
      <left style="dotted">
        <color rgb="FF003657"/>
      </left>
      <right/>
      <top style="dotted">
        <color rgb="FF003657"/>
      </top>
      <bottom style="dotted">
        <color rgb="FF003657"/>
      </bottom>
      <diagonal/>
    </border>
    <border>
      <left/>
      <right/>
      <top style="dotted">
        <color rgb="FF003657"/>
      </top>
      <bottom style="dotted">
        <color rgb="FF003657"/>
      </bottom>
      <diagonal/>
    </border>
    <border>
      <left/>
      <right style="dotted">
        <color rgb="FF003657"/>
      </right>
      <top style="dotted">
        <color rgb="FF003657"/>
      </top>
      <bottom style="dotted">
        <color rgb="FF003657"/>
      </bottom>
      <diagonal/>
    </border>
    <border>
      <left style="dotted">
        <color rgb="FF003657"/>
      </left>
      <right style="dotted">
        <color rgb="FF003657"/>
      </right>
      <top/>
      <bottom style="dotted">
        <color rgb="FF003657"/>
      </bottom>
      <diagonal/>
    </border>
    <border>
      <left/>
      <right style="dotted">
        <color rgb="FF003657"/>
      </right>
      <top/>
      <bottom style="dotted">
        <color rgb="FF003657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280">
    <xf numFmtId="0" fontId="0" fillId="0" borderId="0" xfId="0"/>
    <xf numFmtId="0" fontId="0" fillId="2" borderId="0" xfId="0" applyFill="1"/>
    <xf numFmtId="0" fontId="5" fillId="3" borderId="0" xfId="0" applyFont="1" applyFill="1"/>
    <xf numFmtId="0" fontId="2" fillId="3" borderId="0" xfId="0" applyFont="1" applyFill="1"/>
    <xf numFmtId="0" fontId="4" fillId="5" borderId="9" xfId="0" applyFont="1" applyFill="1" applyBorder="1" applyAlignment="1">
      <alignment horizontal="center"/>
    </xf>
    <xf numFmtId="0" fontId="0" fillId="2" borderId="9" xfId="0" applyFill="1" applyBorder="1" applyAlignment="1">
      <alignment horizontal="left" vertical="center" wrapText="1"/>
    </xf>
    <xf numFmtId="0" fontId="0" fillId="2" borderId="9" xfId="0" applyFill="1" applyBorder="1" applyAlignment="1">
      <alignment horizontal="justify" vertical="center" wrapText="1"/>
    </xf>
    <xf numFmtId="0" fontId="0" fillId="2" borderId="9" xfId="0" applyFill="1" applyBorder="1" applyAlignment="1">
      <alignment vertical="center" wrapText="1"/>
    </xf>
    <xf numFmtId="0" fontId="7" fillId="2" borderId="0" xfId="0" applyFont="1" applyFill="1"/>
    <xf numFmtId="0" fontId="8" fillId="2" borderId="0" xfId="0" applyFont="1" applyFill="1"/>
    <xf numFmtId="0" fontId="4" fillId="2" borderId="0" xfId="0" applyFont="1" applyFill="1"/>
    <xf numFmtId="0" fontId="0" fillId="6" borderId="9" xfId="0" applyFill="1" applyBorder="1" applyAlignment="1">
      <alignment horizontal="left" vertical="center" wrapText="1"/>
    </xf>
    <xf numFmtId="0" fontId="6" fillId="2" borderId="0" xfId="0" applyFont="1" applyFill="1"/>
    <xf numFmtId="0" fontId="0" fillId="2" borderId="0" xfId="0" applyFill="1" applyAlignment="1">
      <alignment horizontal="left" vertical="top"/>
    </xf>
    <xf numFmtId="0" fontId="0" fillId="2" borderId="0" xfId="0" applyFill="1" applyAlignment="1">
      <alignment vertical="top"/>
    </xf>
    <xf numFmtId="0" fontId="12" fillId="7" borderId="10" xfId="0" applyFont="1" applyFill="1" applyBorder="1" applyAlignment="1">
      <alignment horizontal="center" vertical="center" wrapText="1"/>
    </xf>
    <xf numFmtId="0" fontId="12" fillId="7" borderId="0" xfId="0" applyFont="1" applyFill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justify" vertical="center" wrapText="1"/>
    </xf>
    <xf numFmtId="0" fontId="14" fillId="0" borderId="16" xfId="0" applyFont="1" applyBorder="1" applyAlignment="1">
      <alignment horizontal="left" vertical="center" wrapText="1"/>
    </xf>
    <xf numFmtId="0" fontId="15" fillId="9" borderId="9" xfId="0" applyFont="1" applyFill="1" applyBorder="1" applyAlignment="1">
      <alignment horizontal="center" vertical="center" wrapText="1"/>
    </xf>
    <xf numFmtId="0" fontId="15" fillId="9" borderId="9" xfId="3" applyFont="1" applyFill="1" applyBorder="1" applyAlignment="1">
      <alignment horizontal="center" vertical="center" wrapText="1"/>
    </xf>
    <xf numFmtId="0" fontId="17" fillId="10" borderId="9" xfId="0" applyFont="1" applyFill="1" applyBorder="1" applyAlignment="1">
      <alignment horizontal="left" vertical="top" wrapText="1"/>
    </xf>
    <xf numFmtId="0" fontId="18" fillId="2" borderId="9" xfId="0" applyFont="1" applyFill="1" applyBorder="1"/>
    <xf numFmtId="0" fontId="4" fillId="5" borderId="19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/>
    </xf>
    <xf numFmtId="165" fontId="0" fillId="2" borderId="21" xfId="2" applyNumberFormat="1" applyFont="1" applyFill="1" applyBorder="1"/>
    <xf numFmtId="1" fontId="0" fillId="2" borderId="21" xfId="2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165" fontId="0" fillId="2" borderId="9" xfId="2" applyNumberFormat="1" applyFont="1" applyFill="1" applyBorder="1"/>
    <xf numFmtId="1" fontId="0" fillId="2" borderId="9" xfId="2" applyNumberFormat="1" applyFont="1" applyFill="1" applyBorder="1" applyAlignment="1">
      <alignment horizontal="center"/>
    </xf>
    <xf numFmtId="1" fontId="3" fillId="2" borderId="9" xfId="2" applyNumberFormat="1" applyFont="1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165" fontId="0" fillId="2" borderId="24" xfId="2" applyNumberFormat="1" applyFont="1" applyFill="1" applyBorder="1"/>
    <xf numFmtId="1" fontId="0" fillId="2" borderId="24" xfId="2" applyNumberFormat="1" applyFont="1" applyFill="1" applyBorder="1" applyAlignment="1">
      <alignment horizontal="center"/>
    </xf>
    <xf numFmtId="1" fontId="3" fillId="2" borderId="24" xfId="2" applyNumberFormat="1" applyFont="1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165" fontId="0" fillId="2" borderId="26" xfId="2" applyNumberFormat="1" applyFont="1" applyFill="1" applyBorder="1"/>
    <xf numFmtId="1" fontId="0" fillId="2" borderId="26" xfId="2" applyNumberFormat="1" applyFont="1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165" fontId="0" fillId="2" borderId="28" xfId="2" applyNumberFormat="1" applyFont="1" applyFill="1" applyBorder="1"/>
    <xf numFmtId="1" fontId="0" fillId="2" borderId="28" xfId="2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9" fontId="0" fillId="0" borderId="6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9" fontId="0" fillId="0" borderId="7" xfId="2" applyFont="1" applyBorder="1" applyAlignment="1">
      <alignment horizontal="center"/>
    </xf>
    <xf numFmtId="9" fontId="0" fillId="0" borderId="8" xfId="0" applyNumberFormat="1" applyBorder="1" applyAlignment="1">
      <alignment horizontal="center"/>
    </xf>
    <xf numFmtId="166" fontId="4" fillId="0" borderId="22" xfId="1" applyNumberFormat="1" applyFont="1" applyBorder="1" applyAlignment="1">
      <alignment horizontal="center" vertical="center"/>
    </xf>
    <xf numFmtId="166" fontId="4" fillId="0" borderId="23" xfId="1" applyNumberFormat="1" applyFont="1" applyBorder="1" applyAlignment="1">
      <alignment horizontal="center" vertical="center"/>
    </xf>
    <xf numFmtId="166" fontId="4" fillId="0" borderId="25" xfId="1" applyNumberFormat="1" applyFont="1" applyBorder="1" applyAlignment="1">
      <alignment horizontal="center" vertical="center"/>
    </xf>
    <xf numFmtId="166" fontId="0" fillId="2" borderId="22" xfId="1" applyNumberFormat="1" applyFont="1" applyFill="1" applyBorder="1" applyAlignment="1">
      <alignment horizontal="center"/>
    </xf>
    <xf numFmtId="166" fontId="0" fillId="2" borderId="23" xfId="1" applyNumberFormat="1" applyFont="1" applyFill="1" applyBorder="1" applyAlignment="1">
      <alignment horizontal="center"/>
    </xf>
    <xf numFmtId="166" fontId="0" fillId="2" borderId="27" xfId="1" applyNumberFormat="1" applyFont="1" applyFill="1" applyBorder="1" applyAlignment="1">
      <alignment horizontal="center"/>
    </xf>
    <xf numFmtId="166" fontId="0" fillId="2" borderId="29" xfId="1" applyNumberFormat="1" applyFont="1" applyFill="1" applyBorder="1" applyAlignment="1">
      <alignment horizontal="center"/>
    </xf>
    <xf numFmtId="9" fontId="0" fillId="2" borderId="9" xfId="2" applyFont="1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9" fontId="0" fillId="2" borderId="26" xfId="2" applyFont="1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9" fontId="0" fillId="2" borderId="24" xfId="2" applyFont="1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9" fontId="0" fillId="2" borderId="28" xfId="2" applyFont="1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9" fontId="0" fillId="2" borderId="21" xfId="2" applyFont="1" applyFill="1" applyBorder="1" applyAlignment="1">
      <alignment horizontal="center"/>
    </xf>
    <xf numFmtId="0" fontId="4" fillId="5" borderId="33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left" vertical="center" wrapText="1"/>
    </xf>
    <xf numFmtId="0" fontId="0" fillId="2" borderId="9" xfId="0" applyFont="1" applyFill="1" applyBorder="1" applyAlignment="1">
      <alignment horizontal="left" vertical="center" wrapText="1"/>
    </xf>
    <xf numFmtId="0" fontId="0" fillId="2" borderId="23" xfId="0" applyFill="1" applyBorder="1"/>
    <xf numFmtId="0" fontId="0" fillId="2" borderId="18" xfId="0" applyFont="1" applyFill="1" applyBorder="1" applyAlignment="1">
      <alignment horizontal="left" vertical="center" wrapText="1"/>
    </xf>
    <xf numFmtId="0" fontId="0" fillId="2" borderId="35" xfId="0" applyFont="1" applyFill="1" applyBorder="1" applyAlignment="1">
      <alignment horizontal="left" vertical="center" wrapText="1"/>
    </xf>
    <xf numFmtId="0" fontId="0" fillId="2" borderId="26" xfId="0" applyFont="1" applyFill="1" applyBorder="1" applyAlignment="1">
      <alignment horizontal="left" vertical="center" wrapText="1"/>
    </xf>
    <xf numFmtId="0" fontId="0" fillId="2" borderId="27" xfId="0" applyFill="1" applyBorder="1"/>
    <xf numFmtId="0" fontId="0" fillId="2" borderId="39" xfId="0" applyFont="1" applyFill="1" applyBorder="1" applyAlignment="1">
      <alignment horizontal="left" vertical="center" wrapText="1"/>
    </xf>
    <xf numFmtId="0" fontId="0" fillId="2" borderId="40" xfId="0" applyFont="1" applyFill="1" applyBorder="1" applyAlignment="1">
      <alignment horizontal="left" vertical="center" wrapText="1"/>
    </xf>
    <xf numFmtId="0" fontId="0" fillId="2" borderId="41" xfId="0" applyFont="1" applyFill="1" applyBorder="1" applyAlignment="1">
      <alignment horizontal="left" vertical="center" wrapText="1"/>
    </xf>
    <xf numFmtId="0" fontId="0" fillId="2" borderId="42" xfId="0" applyFont="1" applyFill="1" applyBorder="1" applyAlignment="1">
      <alignment horizontal="left" vertical="center" wrapText="1"/>
    </xf>
    <xf numFmtId="0" fontId="0" fillId="2" borderId="23" xfId="0" applyFont="1" applyFill="1" applyBorder="1" applyAlignment="1">
      <alignment horizontal="left" vertical="center" wrapText="1"/>
    </xf>
    <xf numFmtId="0" fontId="0" fillId="2" borderId="27" xfId="0" applyFont="1" applyFill="1" applyBorder="1" applyAlignment="1">
      <alignment horizontal="left" vertical="center" wrapText="1"/>
    </xf>
    <xf numFmtId="0" fontId="0" fillId="2" borderId="38" xfId="0" applyFont="1" applyFill="1" applyBorder="1" applyAlignment="1">
      <alignment horizontal="left" vertical="center" wrapText="1"/>
    </xf>
    <xf numFmtId="0" fontId="0" fillId="2" borderId="44" xfId="0" applyFont="1" applyFill="1" applyBorder="1" applyAlignment="1">
      <alignment horizontal="left" vertical="center" wrapText="1"/>
    </xf>
    <xf numFmtId="0" fontId="0" fillId="2" borderId="28" xfId="0" applyFont="1" applyFill="1" applyBorder="1" applyAlignment="1">
      <alignment horizontal="left" vertical="center" wrapText="1"/>
    </xf>
    <xf numFmtId="0" fontId="0" fillId="2" borderId="29" xfId="0" applyFont="1" applyFill="1" applyBorder="1" applyAlignment="1">
      <alignment horizontal="left" vertical="center" wrapText="1"/>
    </xf>
    <xf numFmtId="0" fontId="4" fillId="5" borderId="45" xfId="0" applyFont="1" applyFill="1" applyBorder="1" applyAlignment="1">
      <alignment horizontal="center" vertical="center" wrapText="1"/>
    </xf>
    <xf numFmtId="0" fontId="4" fillId="5" borderId="46" xfId="0" applyFont="1" applyFill="1" applyBorder="1" applyAlignment="1">
      <alignment horizontal="center" vertical="center" wrapText="1"/>
    </xf>
    <xf numFmtId="0" fontId="4" fillId="5" borderId="48" xfId="0" applyFont="1" applyFill="1" applyBorder="1" applyAlignment="1">
      <alignment horizontal="center" vertical="center" wrapText="1"/>
    </xf>
    <xf numFmtId="0" fontId="0" fillId="2" borderId="29" xfId="0" applyFill="1" applyBorder="1"/>
    <xf numFmtId="0" fontId="4" fillId="11" borderId="45" xfId="0" applyFont="1" applyFill="1" applyBorder="1" applyAlignment="1">
      <alignment horizontal="center" vertical="center" wrapText="1"/>
    </xf>
    <xf numFmtId="0" fontId="4" fillId="11" borderId="46" xfId="0" applyFont="1" applyFill="1" applyBorder="1" applyAlignment="1">
      <alignment horizontal="center" vertical="center" wrapText="1"/>
    </xf>
    <xf numFmtId="0" fontId="4" fillId="11" borderId="47" xfId="0" applyFont="1" applyFill="1" applyBorder="1" applyAlignment="1">
      <alignment horizontal="center" vertical="center" wrapText="1"/>
    </xf>
    <xf numFmtId="0" fontId="0" fillId="12" borderId="0" xfId="0" applyFill="1"/>
    <xf numFmtId="0" fontId="22" fillId="2" borderId="0" xfId="0" applyFont="1" applyFill="1" applyAlignment="1">
      <alignment vertical="center"/>
    </xf>
    <xf numFmtId="0" fontId="15" fillId="9" borderId="17" xfId="0" applyFont="1" applyFill="1" applyBorder="1" applyAlignment="1">
      <alignment horizontal="center" vertical="center" wrapText="1"/>
    </xf>
    <xf numFmtId="0" fontId="0" fillId="10" borderId="43" xfId="0" applyFill="1" applyBorder="1" applyAlignment="1">
      <alignment horizontal="center"/>
    </xf>
    <xf numFmtId="166" fontId="0" fillId="0" borderId="41" xfId="1" applyNumberFormat="1" applyFont="1" applyBorder="1" applyAlignment="1">
      <alignment horizontal="center"/>
    </xf>
    <xf numFmtId="166" fontId="0" fillId="0" borderId="42" xfId="1" applyNumberFormat="1" applyFont="1" applyBorder="1" applyAlignment="1">
      <alignment horizontal="center"/>
    </xf>
    <xf numFmtId="167" fontId="0" fillId="2" borderId="0" xfId="0" applyNumberFormat="1" applyFill="1"/>
    <xf numFmtId="166" fontId="0" fillId="2" borderId="0" xfId="1" applyNumberFormat="1" applyFont="1" applyFill="1"/>
    <xf numFmtId="0" fontId="4" fillId="13" borderId="9" xfId="0" applyFont="1" applyFill="1" applyBorder="1" applyAlignment="1">
      <alignment horizontal="center"/>
    </xf>
    <xf numFmtId="0" fontId="4" fillId="14" borderId="9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0" fontId="18" fillId="2" borderId="9" xfId="0" applyFont="1" applyFill="1" applyBorder="1" applyAlignment="1">
      <alignment horizontal="center" vertical="center"/>
    </xf>
    <xf numFmtId="0" fontId="26" fillId="2" borderId="0" xfId="0" applyFont="1" applyFill="1"/>
    <xf numFmtId="0" fontId="4" fillId="15" borderId="9" xfId="0" applyFont="1" applyFill="1" applyBorder="1" applyAlignment="1">
      <alignment horizontal="center"/>
    </xf>
    <xf numFmtId="165" fontId="0" fillId="11" borderId="9" xfId="2" applyNumberFormat="1" applyFont="1" applyFill="1" applyBorder="1"/>
    <xf numFmtId="0" fontId="0" fillId="2" borderId="0" xfId="0" applyFill="1" applyBorder="1"/>
    <xf numFmtId="168" fontId="0" fillId="11" borderId="9" xfId="1" applyNumberFormat="1" applyFont="1" applyFill="1" applyBorder="1"/>
    <xf numFmtId="0" fontId="28" fillId="2" borderId="0" xfId="3" applyFont="1" applyFill="1" applyBorder="1"/>
    <xf numFmtId="0" fontId="29" fillId="2" borderId="0" xfId="0" applyFont="1" applyFill="1"/>
    <xf numFmtId="0" fontId="0" fillId="2" borderId="9" xfId="0" applyFill="1" applyBorder="1" applyAlignment="1">
      <alignment horizontal="left"/>
    </xf>
    <xf numFmtId="11" fontId="0" fillId="2" borderId="9" xfId="0" applyNumberFormat="1" applyFill="1" applyBorder="1" applyAlignment="1">
      <alignment horizontal="center"/>
    </xf>
    <xf numFmtId="0" fontId="0" fillId="2" borderId="9" xfId="0" applyFill="1" applyBorder="1"/>
    <xf numFmtId="0" fontId="30" fillId="5" borderId="9" xfId="4" applyFont="1" applyFill="1" applyBorder="1" applyAlignment="1">
      <alignment horizontal="center" vertical="center" wrapText="1"/>
    </xf>
    <xf numFmtId="0" fontId="30" fillId="5" borderId="9" xfId="4" applyFont="1" applyFill="1" applyBorder="1" applyAlignment="1">
      <alignment horizontal="center" vertical="center"/>
    </xf>
    <xf numFmtId="0" fontId="0" fillId="0" borderId="9" xfId="4" applyFont="1" applyBorder="1" applyAlignment="1">
      <alignment horizontal="center" vertical="center"/>
    </xf>
    <xf numFmtId="0" fontId="33" fillId="0" borderId="0" xfId="4" applyFont="1" applyAlignment="1">
      <alignment vertical="center"/>
    </xf>
    <xf numFmtId="0" fontId="0" fillId="2" borderId="28" xfId="0" applyFill="1" applyBorder="1" applyAlignment="1">
      <alignment horizontal="left"/>
    </xf>
    <xf numFmtId="0" fontId="4" fillId="2" borderId="9" xfId="0" applyFont="1" applyFill="1" applyBorder="1"/>
    <xf numFmtId="0" fontId="18" fillId="17" borderId="9" xfId="0" applyFont="1" applyFill="1" applyBorder="1" applyAlignment="1">
      <alignment horizontal="center" vertical="center"/>
    </xf>
    <xf numFmtId="14" fontId="18" fillId="17" borderId="9" xfId="0" applyNumberFormat="1" applyFont="1" applyFill="1" applyBorder="1" applyAlignment="1">
      <alignment horizontal="center" vertical="center"/>
    </xf>
    <xf numFmtId="0" fontId="3" fillId="16" borderId="0" xfId="0" applyFont="1" applyFill="1"/>
    <xf numFmtId="0" fontId="0" fillId="16" borderId="0" xfId="0" applyFill="1"/>
    <xf numFmtId="0" fontId="0" fillId="2" borderId="36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9" fontId="0" fillId="2" borderId="21" xfId="2" applyFont="1" applyFill="1" applyBorder="1" applyAlignment="1">
      <alignment horizontal="center" vertical="center"/>
    </xf>
    <xf numFmtId="1" fontId="0" fillId="2" borderId="21" xfId="2" applyNumberFormat="1" applyFont="1" applyFill="1" applyBorder="1" applyAlignment="1">
      <alignment horizontal="center" vertical="center"/>
    </xf>
    <xf numFmtId="1" fontId="3" fillId="2" borderId="21" xfId="2" applyNumberFormat="1" applyFont="1" applyFill="1" applyBorder="1" applyAlignment="1">
      <alignment horizontal="center" vertical="center"/>
    </xf>
    <xf numFmtId="164" fontId="0" fillId="0" borderId="40" xfId="1" applyNumberFormat="1" applyFont="1" applyBorder="1" applyAlignment="1">
      <alignment horizontal="center"/>
    </xf>
    <xf numFmtId="0" fontId="0" fillId="18" borderId="21" xfId="0" applyFill="1" applyBorder="1"/>
    <xf numFmtId="0" fontId="0" fillId="18" borderId="9" xfId="0" applyFill="1" applyBorder="1" applyAlignment="1">
      <alignment horizontal="center"/>
    </xf>
    <xf numFmtId="0" fontId="0" fillId="18" borderId="26" xfId="0" applyFill="1" applyBorder="1" applyAlignment="1">
      <alignment horizontal="center"/>
    </xf>
    <xf numFmtId="0" fontId="0" fillId="18" borderId="28" xfId="0" applyFill="1" applyBorder="1"/>
    <xf numFmtId="0" fontId="0" fillId="18" borderId="28" xfId="0" applyFill="1" applyBorder="1" applyAlignment="1">
      <alignment horizontal="center"/>
    </xf>
    <xf numFmtId="165" fontId="3" fillId="2" borderId="21" xfId="2" applyNumberFormat="1" applyFont="1" applyFill="1" applyBorder="1"/>
    <xf numFmtId="165" fontId="3" fillId="2" borderId="28" xfId="2" applyNumberFormat="1" applyFont="1" applyFill="1" applyBorder="1"/>
    <xf numFmtId="1" fontId="3" fillId="2" borderId="21" xfId="2" applyNumberFormat="1" applyFont="1" applyFill="1" applyBorder="1" applyAlignment="1">
      <alignment horizontal="center"/>
    </xf>
    <xf numFmtId="165" fontId="3" fillId="2" borderId="9" xfId="2" applyNumberFormat="1" applyFont="1" applyFill="1" applyBorder="1"/>
    <xf numFmtId="165" fontId="3" fillId="2" borderId="24" xfId="2" applyNumberFormat="1" applyFont="1" applyFill="1" applyBorder="1"/>
    <xf numFmtId="1" fontId="3" fillId="2" borderId="28" xfId="2" applyNumberFormat="1" applyFont="1" applyFill="1" applyBorder="1" applyAlignment="1">
      <alignment horizontal="center"/>
    </xf>
    <xf numFmtId="165" fontId="3" fillId="2" borderId="26" xfId="2" applyNumberFormat="1" applyFont="1" applyFill="1" applyBorder="1"/>
    <xf numFmtId="1" fontId="3" fillId="2" borderId="26" xfId="2" applyNumberFormat="1" applyFont="1" applyFill="1" applyBorder="1" applyAlignment="1">
      <alignment horizontal="center"/>
    </xf>
    <xf numFmtId="166" fontId="4" fillId="17" borderId="21" xfId="1" applyNumberFormat="1" applyFont="1" applyFill="1" applyBorder="1" applyAlignment="1">
      <alignment horizontal="center" vertical="center"/>
    </xf>
    <xf numFmtId="166" fontId="4" fillId="17" borderId="9" xfId="1" applyNumberFormat="1" applyFont="1" applyFill="1" applyBorder="1" applyAlignment="1">
      <alignment horizontal="center" vertical="center"/>
    </xf>
    <xf numFmtId="166" fontId="4" fillId="17" borderId="24" xfId="1" applyNumberFormat="1" applyFont="1" applyFill="1" applyBorder="1" applyAlignment="1">
      <alignment horizontal="center" vertical="center"/>
    </xf>
    <xf numFmtId="166" fontId="0" fillId="17" borderId="21" xfId="1" applyNumberFormat="1" applyFont="1" applyFill="1" applyBorder="1" applyAlignment="1">
      <alignment horizontal="center"/>
    </xf>
    <xf numFmtId="166" fontId="0" fillId="17" borderId="9" xfId="1" applyNumberFormat="1" applyFont="1" applyFill="1" applyBorder="1" applyAlignment="1">
      <alignment horizontal="center"/>
    </xf>
    <xf numFmtId="166" fontId="0" fillId="17" borderId="26" xfId="1" applyNumberFormat="1" applyFont="1" applyFill="1" applyBorder="1" applyAlignment="1">
      <alignment horizontal="center"/>
    </xf>
    <xf numFmtId="166" fontId="0" fillId="17" borderId="28" xfId="1" applyNumberFormat="1" applyFont="1" applyFill="1" applyBorder="1" applyAlignment="1">
      <alignment horizontal="center"/>
    </xf>
    <xf numFmtId="0" fontId="37" fillId="2" borderId="0" xfId="0" applyFont="1" applyFill="1"/>
    <xf numFmtId="0" fontId="37" fillId="0" borderId="0" xfId="4" applyFont="1" applyAlignment="1">
      <alignment vertical="center"/>
    </xf>
    <xf numFmtId="0" fontId="38" fillId="2" borderId="0" xfId="3" applyFont="1" applyFill="1"/>
    <xf numFmtId="0" fontId="18" fillId="0" borderId="9" xfId="0" applyFont="1" applyFill="1" applyBorder="1" applyAlignment="1">
      <alignment horizontal="center" vertical="center"/>
    </xf>
    <xf numFmtId="14" fontId="18" fillId="0" borderId="9" xfId="0" applyNumberFormat="1" applyFont="1" applyFill="1" applyBorder="1" applyAlignment="1">
      <alignment horizontal="center" vertical="center"/>
    </xf>
    <xf numFmtId="166" fontId="18" fillId="0" borderId="9" xfId="0" applyNumberFormat="1" applyFont="1" applyFill="1" applyBorder="1" applyAlignment="1">
      <alignment horizontal="center" vertical="center"/>
    </xf>
    <xf numFmtId="164" fontId="18" fillId="0" borderId="9" xfId="0" applyNumberFormat="1" applyFont="1" applyFill="1" applyBorder="1" applyAlignment="1">
      <alignment horizontal="center" vertical="center"/>
    </xf>
    <xf numFmtId="166" fontId="0" fillId="17" borderId="24" xfId="1" applyNumberFormat="1" applyFont="1" applyFill="1" applyBorder="1" applyAlignment="1">
      <alignment horizontal="center"/>
    </xf>
    <xf numFmtId="166" fontId="0" fillId="17" borderId="22" xfId="1" applyNumberFormat="1" applyFont="1" applyFill="1" applyBorder="1" applyAlignment="1">
      <alignment horizontal="center"/>
    </xf>
    <xf numFmtId="166" fontId="0" fillId="17" borderId="23" xfId="1" applyNumberFormat="1" applyFont="1" applyFill="1" applyBorder="1" applyAlignment="1">
      <alignment horizontal="center"/>
    </xf>
    <xf numFmtId="166" fontId="0" fillId="17" borderId="27" xfId="1" applyNumberFormat="1" applyFont="1" applyFill="1" applyBorder="1" applyAlignment="1">
      <alignment horizontal="center"/>
    </xf>
    <xf numFmtId="166" fontId="3" fillId="17" borderId="22" xfId="1" applyNumberFormat="1" applyFont="1" applyFill="1" applyBorder="1" applyAlignment="1">
      <alignment horizontal="center"/>
    </xf>
    <xf numFmtId="166" fontId="3" fillId="17" borderId="29" xfId="1" applyNumberFormat="1" applyFont="1" applyFill="1" applyBorder="1" applyAlignment="1">
      <alignment horizontal="center"/>
    </xf>
    <xf numFmtId="166" fontId="3" fillId="17" borderId="51" xfId="1" applyNumberFormat="1" applyFont="1" applyFill="1" applyBorder="1" applyAlignment="1">
      <alignment horizontal="center"/>
    </xf>
    <xf numFmtId="166" fontId="3" fillId="17" borderId="52" xfId="1" applyNumberFormat="1" applyFont="1" applyFill="1" applyBorder="1" applyAlignment="1">
      <alignment horizontal="center"/>
    </xf>
    <xf numFmtId="168" fontId="4" fillId="19" borderId="9" xfId="1" applyNumberFormat="1" applyFont="1" applyFill="1" applyBorder="1"/>
    <xf numFmtId="168" fontId="39" fillId="19" borderId="9" xfId="1" applyNumberFormat="1" applyFont="1" applyFill="1" applyBorder="1"/>
    <xf numFmtId="165" fontId="0" fillId="19" borderId="9" xfId="2" applyNumberFormat="1" applyFont="1" applyFill="1" applyBorder="1"/>
    <xf numFmtId="165" fontId="3" fillId="19" borderId="9" xfId="2" applyNumberFormat="1" applyFont="1" applyFill="1" applyBorder="1"/>
    <xf numFmtId="11" fontId="0" fillId="19" borderId="9" xfId="0" applyNumberFormat="1" applyFill="1" applyBorder="1" applyAlignment="1">
      <alignment horizontal="center"/>
    </xf>
    <xf numFmtId="166" fontId="0" fillId="19" borderId="9" xfId="1" applyNumberFormat="1" applyFont="1" applyFill="1" applyBorder="1" applyAlignment="1">
      <alignment horizontal="center"/>
    </xf>
    <xf numFmtId="169" fontId="0" fillId="19" borderId="9" xfId="1" applyNumberFormat="1" applyFont="1" applyFill="1" applyBorder="1" applyAlignment="1">
      <alignment horizontal="center"/>
    </xf>
    <xf numFmtId="166" fontId="3" fillId="19" borderId="9" xfId="1" applyNumberFormat="1" applyFont="1" applyFill="1" applyBorder="1" applyAlignment="1">
      <alignment horizontal="center"/>
    </xf>
    <xf numFmtId="169" fontId="8" fillId="19" borderId="9" xfId="1" applyNumberFormat="1" applyFont="1" applyFill="1" applyBorder="1" applyAlignment="1">
      <alignment horizontal="center"/>
    </xf>
    <xf numFmtId="0" fontId="33" fillId="19" borderId="9" xfId="4" applyFont="1" applyFill="1" applyBorder="1" applyAlignment="1">
      <alignment horizontal="center" vertical="center"/>
    </xf>
    <xf numFmtId="164" fontId="42" fillId="0" borderId="9" xfId="0" applyNumberFormat="1" applyFont="1" applyFill="1" applyBorder="1" applyAlignment="1">
      <alignment horizontal="center" vertical="center"/>
    </xf>
    <xf numFmtId="0" fontId="18" fillId="16" borderId="9" xfId="0" applyFont="1" applyFill="1" applyBorder="1" applyAlignment="1">
      <alignment horizontal="center" vertical="center"/>
    </xf>
    <xf numFmtId="166" fontId="18" fillId="16" borderId="9" xfId="1" applyNumberFormat="1" applyFont="1" applyFill="1" applyBorder="1" applyAlignment="1">
      <alignment horizontal="center" vertical="center"/>
    </xf>
    <xf numFmtId="0" fontId="18" fillId="16" borderId="9" xfId="0" applyFont="1" applyFill="1" applyBorder="1" applyAlignment="1">
      <alignment horizontal="center" vertical="center" wrapText="1"/>
    </xf>
    <xf numFmtId="164" fontId="0" fillId="0" borderId="9" xfId="1" applyFont="1" applyFill="1" applyBorder="1"/>
    <xf numFmtId="0" fontId="18" fillId="2" borderId="0" xfId="0" applyFont="1" applyFill="1" applyBorder="1" applyAlignment="1">
      <alignment horizontal="center" vertical="center"/>
    </xf>
    <xf numFmtId="0" fontId="18" fillId="2" borderId="0" xfId="0" applyFont="1" applyFill="1" applyBorder="1"/>
    <xf numFmtId="166" fontId="18" fillId="2" borderId="9" xfId="1" applyNumberFormat="1" applyFont="1" applyFill="1" applyBorder="1" applyAlignment="1">
      <alignment horizontal="center" vertical="center"/>
    </xf>
    <xf numFmtId="14" fontId="18" fillId="2" borderId="9" xfId="0" applyNumberFormat="1" applyFont="1" applyFill="1" applyBorder="1" applyAlignment="1">
      <alignment horizontal="center" vertical="center"/>
    </xf>
    <xf numFmtId="164" fontId="18" fillId="2" borderId="9" xfId="1" applyNumberFormat="1" applyFont="1" applyFill="1" applyBorder="1" applyAlignment="1">
      <alignment horizontal="center" vertical="center"/>
    </xf>
    <xf numFmtId="166" fontId="18" fillId="0" borderId="9" xfId="1" applyNumberFormat="1" applyFont="1" applyFill="1" applyBorder="1" applyAlignment="1">
      <alignment horizontal="center" vertical="center"/>
    </xf>
    <xf numFmtId="164" fontId="18" fillId="0" borderId="9" xfId="1" applyNumberFormat="1" applyFont="1" applyFill="1" applyBorder="1" applyAlignment="1">
      <alignment horizontal="center" vertical="center"/>
    </xf>
    <xf numFmtId="0" fontId="15" fillId="20" borderId="9" xfId="0" applyFont="1" applyFill="1" applyBorder="1" applyAlignment="1">
      <alignment horizontal="center" vertical="center" wrapText="1"/>
    </xf>
    <xf numFmtId="0" fontId="17" fillId="21" borderId="9" xfId="0" applyFont="1" applyFill="1" applyBorder="1" applyAlignment="1">
      <alignment horizontal="left" vertical="top" wrapText="1"/>
    </xf>
    <xf numFmtId="169" fontId="4" fillId="2" borderId="9" xfId="1" applyNumberFormat="1" applyFont="1" applyFill="1" applyBorder="1"/>
    <xf numFmtId="170" fontId="0" fillId="2" borderId="9" xfId="0" applyNumberFormat="1" applyFill="1" applyBorder="1"/>
    <xf numFmtId="164" fontId="0" fillId="2" borderId="9" xfId="1" applyFont="1" applyFill="1" applyBorder="1"/>
    <xf numFmtId="43" fontId="0" fillId="2" borderId="0" xfId="0" applyNumberFormat="1" applyFill="1"/>
    <xf numFmtId="0" fontId="4" fillId="22" borderId="9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23" borderId="9" xfId="0" applyFont="1" applyFill="1" applyBorder="1" applyAlignment="1">
      <alignment horizontal="center" vertical="center" wrapText="1"/>
    </xf>
    <xf numFmtId="0" fontId="0" fillId="24" borderId="9" xfId="0" applyFill="1" applyBorder="1"/>
    <xf numFmtId="9" fontId="0" fillId="25" borderId="9" xfId="2" applyFont="1" applyFill="1" applyBorder="1"/>
    <xf numFmtId="170" fontId="0" fillId="2" borderId="9" xfId="5" applyNumberFormat="1" applyFont="1" applyFill="1" applyBorder="1"/>
    <xf numFmtId="0" fontId="0" fillId="25" borderId="9" xfId="2" applyNumberFormat="1" applyFont="1" applyFill="1" applyBorder="1" applyAlignment="1">
      <alignment horizontal="center"/>
    </xf>
    <xf numFmtId="43" fontId="0" fillId="2" borderId="9" xfId="5" applyFont="1" applyFill="1" applyBorder="1"/>
    <xf numFmtId="170" fontId="0" fillId="24" borderId="9" xfId="5" applyNumberFormat="1" applyFont="1" applyFill="1" applyBorder="1"/>
    <xf numFmtId="43" fontId="0" fillId="2" borderId="9" xfId="0" applyNumberFormat="1" applyFill="1" applyBorder="1"/>
    <xf numFmtId="170" fontId="0" fillId="2" borderId="0" xfId="0" applyNumberFormat="1" applyFill="1"/>
    <xf numFmtId="170" fontId="4" fillId="4" borderId="9" xfId="0" applyNumberFormat="1" applyFont="1" applyFill="1" applyBorder="1" applyAlignment="1">
      <alignment horizontal="center" vertical="center" wrapText="1"/>
    </xf>
    <xf numFmtId="9" fontId="0" fillId="2" borderId="0" xfId="2" applyFont="1" applyFill="1" applyBorder="1"/>
    <xf numFmtId="170" fontId="0" fillId="2" borderId="0" xfId="5" applyNumberFormat="1" applyFont="1" applyFill="1" applyBorder="1"/>
    <xf numFmtId="0" fontId="0" fillId="2" borderId="0" xfId="2" applyNumberFormat="1" applyFont="1" applyFill="1" applyBorder="1" applyAlignment="1">
      <alignment horizontal="center"/>
    </xf>
    <xf numFmtId="43" fontId="0" fillId="2" borderId="0" xfId="5" applyFont="1" applyFill="1" applyBorder="1"/>
    <xf numFmtId="9" fontId="0" fillId="2" borderId="0" xfId="2" applyFont="1" applyFill="1" applyBorder="1" applyAlignment="1">
      <alignment horizontal="center"/>
    </xf>
    <xf numFmtId="171" fontId="0" fillId="2" borderId="0" xfId="5" applyNumberFormat="1" applyFont="1" applyFill="1"/>
    <xf numFmtId="0" fontId="0" fillId="26" borderId="0" xfId="0" applyFill="1"/>
    <xf numFmtId="0" fontId="4" fillId="5" borderId="9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vertical="center"/>
    </xf>
    <xf numFmtId="11" fontId="33" fillId="0" borderId="9" xfId="5" applyNumberFormat="1" applyFont="1" applyBorder="1" applyAlignment="1">
      <alignment horizontal="center" vertical="center"/>
    </xf>
    <xf numFmtId="0" fontId="33" fillId="0" borderId="9" xfId="4" applyFont="1" applyBorder="1" applyAlignment="1">
      <alignment horizontal="center" vertical="center"/>
    </xf>
    <xf numFmtId="11" fontId="33" fillId="2" borderId="9" xfId="5" applyNumberFormat="1" applyFont="1" applyFill="1" applyBorder="1" applyAlignment="1">
      <alignment horizontal="center" vertical="center"/>
    </xf>
    <xf numFmtId="0" fontId="0" fillId="26" borderId="0" xfId="0" applyFill="1" applyAlignment="1">
      <alignment horizontal="center"/>
    </xf>
    <xf numFmtId="11" fontId="1" fillId="2" borderId="9" xfId="5" applyNumberFormat="1" applyFont="1" applyFill="1" applyBorder="1" applyAlignment="1">
      <alignment horizontal="center"/>
    </xf>
    <xf numFmtId="0" fontId="4" fillId="22" borderId="28" xfId="0" applyFont="1" applyFill="1" applyBorder="1" applyAlignment="1">
      <alignment horizontal="center" vertical="center" wrapText="1"/>
    </xf>
    <xf numFmtId="0" fontId="4" fillId="4" borderId="28" xfId="0" applyFont="1" applyFill="1" applyBorder="1" applyAlignment="1">
      <alignment horizontal="center" vertical="center" wrapText="1"/>
    </xf>
    <xf numFmtId="0" fontId="4" fillId="23" borderId="28" xfId="0" applyFont="1" applyFill="1" applyBorder="1" applyAlignment="1">
      <alignment horizontal="center" vertical="center" wrapText="1"/>
    </xf>
    <xf numFmtId="170" fontId="4" fillId="4" borderId="28" xfId="0" applyNumberFormat="1" applyFont="1" applyFill="1" applyBorder="1" applyAlignment="1">
      <alignment horizontal="center" vertical="center" wrapText="1"/>
    </xf>
    <xf numFmtId="0" fontId="39" fillId="22" borderId="28" xfId="0" applyFont="1" applyFill="1" applyBorder="1" applyAlignment="1">
      <alignment horizontal="center" vertical="center" wrapText="1"/>
    </xf>
    <xf numFmtId="0" fontId="4" fillId="21" borderId="9" xfId="0" applyFont="1" applyFill="1" applyBorder="1" applyAlignment="1">
      <alignment horizontal="center" vertical="center" wrapText="1"/>
    </xf>
    <xf numFmtId="0" fontId="0" fillId="27" borderId="9" xfId="0" applyFill="1" applyBorder="1" applyAlignment="1">
      <alignment horizontal="center"/>
    </xf>
    <xf numFmtId="9" fontId="0" fillId="27" borderId="9" xfId="2" applyFont="1" applyFill="1" applyBorder="1" applyAlignment="1">
      <alignment horizontal="center"/>
    </xf>
    <xf numFmtId="0" fontId="0" fillId="28" borderId="0" xfId="0" applyFill="1"/>
    <xf numFmtId="172" fontId="33" fillId="0" borderId="9" xfId="5" applyNumberFormat="1" applyFont="1" applyBorder="1" applyAlignment="1">
      <alignment horizontal="center" vertical="center"/>
    </xf>
    <xf numFmtId="172" fontId="33" fillId="2" borderId="9" xfId="5" applyNumberFormat="1" applyFont="1" applyFill="1" applyBorder="1" applyAlignment="1">
      <alignment horizontal="center" vertical="center"/>
    </xf>
    <xf numFmtId="172" fontId="44" fillId="2" borderId="9" xfId="5" applyNumberFormat="1" applyFont="1" applyFill="1" applyBorder="1" applyAlignment="1">
      <alignment horizontal="center" vertical="center"/>
    </xf>
    <xf numFmtId="172" fontId="1" fillId="2" borderId="9" xfId="1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justify" vertical="top" wrapText="1"/>
    </xf>
    <xf numFmtId="0" fontId="0" fillId="4" borderId="2" xfId="0" applyFill="1" applyBorder="1" applyAlignment="1">
      <alignment horizontal="justify" vertical="top" wrapText="1"/>
    </xf>
    <xf numFmtId="0" fontId="0" fillId="4" borderId="3" xfId="0" applyFill="1" applyBorder="1" applyAlignment="1">
      <alignment horizontal="justify" vertical="top" wrapText="1"/>
    </xf>
    <xf numFmtId="0" fontId="0" fillId="4" borderId="4" xfId="0" applyFill="1" applyBorder="1" applyAlignment="1">
      <alignment horizontal="justify" vertical="top" wrapText="1"/>
    </xf>
    <xf numFmtId="0" fontId="0" fillId="4" borderId="0" xfId="0" applyFill="1" applyBorder="1" applyAlignment="1">
      <alignment horizontal="justify" vertical="top" wrapText="1"/>
    </xf>
    <xf numFmtId="0" fontId="0" fillId="4" borderId="5" xfId="0" applyFill="1" applyBorder="1" applyAlignment="1">
      <alignment horizontal="justify" vertical="top" wrapText="1"/>
    </xf>
    <xf numFmtId="0" fontId="0" fillId="4" borderId="6" xfId="0" applyFill="1" applyBorder="1" applyAlignment="1">
      <alignment horizontal="justify" vertical="top" wrapText="1"/>
    </xf>
    <xf numFmtId="0" fontId="0" fillId="4" borderId="7" xfId="0" applyFill="1" applyBorder="1" applyAlignment="1">
      <alignment horizontal="justify" vertical="top" wrapText="1"/>
    </xf>
    <xf numFmtId="0" fontId="0" fillId="4" borderId="8" xfId="0" applyFill="1" applyBorder="1" applyAlignment="1">
      <alignment horizontal="justify" vertical="top" wrapText="1"/>
    </xf>
    <xf numFmtId="0" fontId="4" fillId="2" borderId="0" xfId="0" applyFont="1" applyFill="1" applyAlignment="1">
      <alignment horizontal="center"/>
    </xf>
    <xf numFmtId="0" fontId="13" fillId="8" borderId="12" xfId="0" applyFont="1" applyFill="1" applyBorder="1" applyAlignment="1">
      <alignment horizontal="left" vertical="center" wrapText="1"/>
    </xf>
    <xf numFmtId="0" fontId="13" fillId="8" borderId="13" xfId="0" applyFont="1" applyFill="1" applyBorder="1" applyAlignment="1">
      <alignment horizontal="left" vertical="center" wrapText="1"/>
    </xf>
    <xf numFmtId="0" fontId="13" fillId="8" borderId="14" xfId="0" applyFont="1" applyFill="1" applyBorder="1" applyAlignment="1">
      <alignment horizontal="left" vertical="center" wrapText="1"/>
    </xf>
    <xf numFmtId="0" fontId="4" fillId="13" borderId="9" xfId="0" applyFont="1" applyFill="1" applyBorder="1" applyAlignment="1">
      <alignment horizontal="center"/>
    </xf>
    <xf numFmtId="0" fontId="4" fillId="14" borderId="9" xfId="0" applyFont="1" applyFill="1" applyBorder="1" applyAlignment="1">
      <alignment horizontal="center"/>
    </xf>
    <xf numFmtId="0" fontId="0" fillId="21" borderId="30" xfId="0" applyFill="1" applyBorder="1" applyAlignment="1">
      <alignment horizontal="center"/>
    </xf>
    <xf numFmtId="0" fontId="0" fillId="21" borderId="31" xfId="0" applyFill="1" applyBorder="1" applyAlignment="1">
      <alignment horizontal="center"/>
    </xf>
    <xf numFmtId="0" fontId="0" fillId="21" borderId="32" xfId="0" applyFill="1" applyBorder="1" applyAlignment="1">
      <alignment horizontal="center"/>
    </xf>
    <xf numFmtId="0" fontId="0" fillId="11" borderId="30" xfId="0" applyFill="1" applyBorder="1" applyAlignment="1">
      <alignment horizontal="center"/>
    </xf>
    <xf numFmtId="0" fontId="0" fillId="11" borderId="31" xfId="0" applyFill="1" applyBorder="1" applyAlignment="1">
      <alignment horizontal="center"/>
    </xf>
    <xf numFmtId="0" fontId="0" fillId="11" borderId="32" xfId="0" applyFill="1" applyBorder="1" applyAlignment="1">
      <alignment horizontal="center"/>
    </xf>
    <xf numFmtId="0" fontId="0" fillId="2" borderId="2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4" fillId="5" borderId="43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0" fillId="10" borderId="30" xfId="0" applyFill="1" applyBorder="1" applyAlignment="1">
      <alignment horizontal="center" wrapText="1"/>
    </xf>
    <xf numFmtId="0" fontId="0" fillId="10" borderId="31" xfId="0" applyFill="1" applyBorder="1" applyAlignment="1">
      <alignment horizontal="center" wrapText="1"/>
    </xf>
    <xf numFmtId="0" fontId="0" fillId="10" borderId="32" xfId="0" applyFill="1" applyBorder="1" applyAlignment="1">
      <alignment horizontal="center" wrapText="1"/>
    </xf>
    <xf numFmtId="0" fontId="0" fillId="10" borderId="36" xfId="0" applyFill="1" applyBorder="1" applyAlignment="1">
      <alignment horizontal="center"/>
    </xf>
    <xf numFmtId="0" fontId="0" fillId="10" borderId="49" xfId="0" applyFill="1" applyBorder="1" applyAlignment="1">
      <alignment horizontal="center"/>
    </xf>
    <xf numFmtId="0" fontId="0" fillId="10" borderId="34" xfId="0" applyFill="1" applyBorder="1" applyAlignment="1">
      <alignment horizontal="center"/>
    </xf>
    <xf numFmtId="0" fontId="0" fillId="10" borderId="17" xfId="0" applyFill="1" applyBorder="1" applyAlignment="1">
      <alignment horizontal="center"/>
    </xf>
    <xf numFmtId="0" fontId="0" fillId="10" borderId="35" xfId="0" applyFill="1" applyBorder="1" applyAlignment="1">
      <alignment horizontal="center"/>
    </xf>
    <xf numFmtId="0" fontId="0" fillId="10" borderId="5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37" fillId="2" borderId="53" xfId="0" applyFont="1" applyFill="1" applyBorder="1" applyAlignment="1">
      <alignment horizontal="left" vertical="top" wrapText="1"/>
    </xf>
    <xf numFmtId="0" fontId="37" fillId="2" borderId="0" xfId="0" applyFont="1" applyFill="1" applyAlignment="1">
      <alignment horizontal="left" vertical="top" wrapText="1"/>
    </xf>
    <xf numFmtId="0" fontId="4" fillId="5" borderId="17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43" fontId="0" fillId="2" borderId="9" xfId="5" applyNumberFormat="1" applyFont="1" applyFill="1" applyBorder="1"/>
  </cellXfs>
  <cellStyles count="6">
    <cellStyle name="Hipervínculo" xfId="3" builtinId="8"/>
    <cellStyle name="Millares" xfId="1" builtinId="3"/>
    <cellStyle name="Millares 2" xfId="5" xr:uid="{5ACA6ACD-2D42-4740-898D-58F87F5F4C11}"/>
    <cellStyle name="Normal" xfId="0" builtinId="0"/>
    <cellStyle name="Normal 10 3" xfId="4" xr:uid="{00000000-0005-0000-0000-000003000000}"/>
    <cellStyle name="Porcentaje" xfId="2" builtinId="5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16699</xdr:colOff>
      <xdr:row>11</xdr:row>
      <xdr:rowOff>134747</xdr:rowOff>
    </xdr:from>
    <xdr:ext cx="3945701" cy="381985"/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216724" y="2963672"/>
          <a:ext cx="3945701" cy="38198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ctr">
          <a:noAutofit/>
        </a:bodyPr>
        <a:lstStyle/>
        <a:p>
          <a:pPr algn="ctr"/>
          <a:r>
            <a:rPr lang="es-PE" sz="1600"/>
            <a:t>ER</a:t>
          </a:r>
          <a:r>
            <a:rPr lang="es-PE" sz="1600" baseline="-25000"/>
            <a:t>y</a:t>
          </a:r>
          <a:r>
            <a:rPr lang="es-PE" sz="1600"/>
            <a:t> = (EC</a:t>
          </a:r>
          <a:r>
            <a:rPr lang="es-PE" sz="1600" baseline="-25000"/>
            <a:t>BL,Y</a:t>
          </a:r>
          <a:r>
            <a:rPr lang="es-PE" sz="1600"/>
            <a:t> - EC</a:t>
          </a:r>
          <a:r>
            <a:rPr lang="es-PE" sz="1600" baseline="-25000"/>
            <a:t>PJ,y</a:t>
          </a:r>
          <a:r>
            <a:rPr lang="es-PE" sz="1600"/>
            <a:t>)/(1-TD</a:t>
          </a:r>
          <a:r>
            <a:rPr lang="es-PE" sz="1600" baseline="-25000"/>
            <a:t>y</a:t>
          </a:r>
          <a:r>
            <a:rPr lang="es-PE" sz="1600"/>
            <a:t>) * 1/1000 * EF</a:t>
          </a:r>
          <a:r>
            <a:rPr lang="es-PE" sz="1600" baseline="-25000"/>
            <a:t>y</a:t>
          </a:r>
        </a:p>
      </xdr:txBody>
    </xdr:sp>
    <xdr:clientData/>
  </xdr:oneCellAnchor>
  <xdr:twoCellAnchor>
    <xdr:from>
      <xdr:col>0</xdr:col>
      <xdr:colOff>228600</xdr:colOff>
      <xdr:row>13</xdr:row>
      <xdr:rowOff>95250</xdr:rowOff>
    </xdr:from>
    <xdr:to>
      <xdr:col>2</xdr:col>
      <xdr:colOff>3638550</xdr:colOff>
      <xdr:row>14</xdr:row>
      <xdr:rowOff>133350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228600" y="3171825"/>
          <a:ext cx="5019675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ES" sz="110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Metodología (MDL) </a:t>
          </a:r>
          <a:r>
            <a:rPr lang="es-ES" sz="1100" i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AMS-II.O. – Dissemination of energy efficient household appliances</a:t>
          </a:r>
          <a:endParaRPr lang="es-PE" sz="11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0</xdr:col>
      <xdr:colOff>247649</xdr:colOff>
      <xdr:row>25</xdr:row>
      <xdr:rowOff>0</xdr:rowOff>
    </xdr:from>
    <xdr:to>
      <xdr:col>3</xdr:col>
      <xdr:colOff>1143000</xdr:colOff>
      <xdr:row>26</xdr:row>
      <xdr:rowOff>28576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47649" y="5610225"/>
          <a:ext cx="11772901" cy="333376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485775</xdr:colOff>
      <xdr:row>1</xdr:row>
      <xdr:rowOff>257174</xdr:rowOff>
    </xdr:from>
    <xdr:to>
      <xdr:col>25</xdr:col>
      <xdr:colOff>238125</xdr:colOff>
      <xdr:row>26</xdr:row>
      <xdr:rowOff>152400</xdr:rowOff>
    </xdr:to>
    <xdr:grpSp>
      <xdr:nvGrpSpPr>
        <xdr:cNvPr id="4" name="Grup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pSpPr/>
      </xdr:nvGrpSpPr>
      <xdr:grpSpPr>
        <a:xfrm>
          <a:off x="12734925" y="552449"/>
          <a:ext cx="8896350" cy="4933951"/>
          <a:chOff x="8134350" y="1800224"/>
          <a:chExt cx="8896350" cy="4933951"/>
        </a:xfrm>
      </xdr:grpSpPr>
      <xdr:pic>
        <xdr:nvPicPr>
          <xdr:cNvPr id="2" name="Imagen 1">
            <a:extLst>
              <a:ext uri="{FF2B5EF4-FFF2-40B4-BE49-F238E27FC236}">
                <a16:creationId xmlns:a16="http://schemas.microsoft.com/office/drawing/2014/main" id="{00000000-0008-0000-0300-000002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12689" t="24114" r="28928" b="18323"/>
          <a:stretch/>
        </xdr:blipFill>
        <xdr:spPr>
          <a:xfrm>
            <a:off x="8134350" y="1800224"/>
            <a:ext cx="8896350" cy="4933951"/>
          </a:xfrm>
          <a:prstGeom prst="rect">
            <a:avLst/>
          </a:prstGeom>
        </xdr:spPr>
      </xdr:pic>
      <xdr:sp macro="" textlink="">
        <xdr:nvSpPr>
          <xdr:cNvPr id="3" name="Rectángulo redondeado 2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SpPr/>
        </xdr:nvSpPr>
        <xdr:spPr>
          <a:xfrm>
            <a:off x="12934950" y="2486024"/>
            <a:ext cx="971550" cy="4032000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E" sz="1100"/>
          </a:p>
        </xdr:txBody>
      </xdr:sp>
    </xdr:grpSp>
    <xdr:clientData/>
  </xdr:twoCellAnchor>
  <xdr:twoCellAnchor editAs="oneCell">
    <xdr:from>
      <xdr:col>7</xdr:col>
      <xdr:colOff>161925</xdr:colOff>
      <xdr:row>2</xdr:row>
      <xdr:rowOff>95249</xdr:rowOff>
    </xdr:from>
    <xdr:to>
      <xdr:col>14</xdr:col>
      <xdr:colOff>266700</xdr:colOff>
      <xdr:row>25</xdr:row>
      <xdr:rowOff>104775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815" t="16558" r="36367" b="31436"/>
        <a:stretch/>
      </xdr:blipFill>
      <xdr:spPr>
        <a:xfrm>
          <a:off x="6143625" y="781049"/>
          <a:ext cx="6372225" cy="445770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a7c2cbea676de89/Desktop/Plataforma%20MRV/C&#225;lculo%20para%20calder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Factores"/>
    </sheetNames>
    <sheetDataSet>
      <sheetData sheetId="0" refreshError="1"/>
      <sheetData sheetId="1" refreshError="1">
        <row r="3">
          <cell r="C3">
            <v>151.32486423492401</v>
          </cell>
          <cell r="G3">
            <v>7.7399999999999997E-2</v>
          </cell>
          <cell r="H3">
            <v>3.0000000000000001E-6</v>
          </cell>
          <cell r="I3">
            <v>5.9999999999999997E-7</v>
          </cell>
        </row>
        <row r="4">
          <cell r="C4">
            <v>134.504386990494</v>
          </cell>
          <cell r="G4">
            <v>7.4099999999999999E-2</v>
          </cell>
          <cell r="H4">
            <v>3.0000000000000001E-6</v>
          </cell>
          <cell r="I4">
            <v>5.9999999999999997E-7</v>
          </cell>
          <cell r="N4">
            <v>30</v>
          </cell>
          <cell r="O4">
            <v>28</v>
          </cell>
        </row>
        <row r="5">
          <cell r="C5">
            <v>36.0369684168923</v>
          </cell>
          <cell r="G5">
            <v>5.6126263346120572E-2</v>
          </cell>
          <cell r="H5">
            <v>9.9999999999999995E-7</v>
          </cell>
          <cell r="I5">
            <v>1.0000000000000001E-7</v>
          </cell>
          <cell r="N5">
            <v>265</v>
          </cell>
        </row>
        <row r="6">
          <cell r="C6">
            <v>132.30178836512428</v>
          </cell>
          <cell r="H6">
            <v>3.0000000000000001E-6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inem.gob.pe/minem/archivos/Cap%C3%83%C2%ADtulo1_-%20Balance%20y%20Principales%20Indicadores%20El%C3%83%C2%A9ctricos%202010%20(2).pdf" TargetMode="External"/><Relationship Id="rId3" Type="http://schemas.openxmlformats.org/officeDocument/2006/relationships/hyperlink" Target="http://www.minem.gob.pe/minem/archivos/Capitulo%201%20Indicadores%20FINAL.pdf" TargetMode="External"/><Relationship Id="rId7" Type="http://schemas.openxmlformats.org/officeDocument/2006/relationships/hyperlink" Target="http://www.minem.gob.pe/minem/archivos/Cap_1_%20%20Balance%20y%20Principales%20Indicadores%202011.pdf" TargetMode="External"/><Relationship Id="rId12" Type="http://schemas.openxmlformats.org/officeDocument/2006/relationships/comments" Target="../comments2.xml"/><Relationship Id="rId2" Type="http://schemas.openxmlformats.org/officeDocument/2006/relationships/hyperlink" Target="http://www.minem.gob.pe/minem/archivos/Capitulo%201%20%20Balance%20e%20Indicadores%202016.pdf" TargetMode="External"/><Relationship Id="rId1" Type="http://schemas.openxmlformats.org/officeDocument/2006/relationships/hyperlink" Target="http://www.minem.gob.pe/minem/archivos/Capitulo%201%20Balance%20e%20Indicadores%202017.pdf" TargetMode="External"/><Relationship Id="rId6" Type="http://schemas.openxmlformats.org/officeDocument/2006/relationships/hyperlink" Target="http://www.minem.gob.pe/minem/archivos/Capitulo%201%20%20Balance%20y%20Principales%20Indicadores%202012.pdf" TargetMode="External"/><Relationship Id="rId11" Type="http://schemas.openxmlformats.org/officeDocument/2006/relationships/vmlDrawing" Target="../drawings/vmlDrawing2.vml"/><Relationship Id="rId5" Type="http://schemas.openxmlformats.org/officeDocument/2006/relationships/hyperlink" Target="http://www.minem.gob.pe/minem/archivos/Capitulo%201%20%20Balance%20y%20Principales%20Indicadores%202013.pdf" TargetMode="External"/><Relationship Id="rId10" Type="http://schemas.openxmlformats.org/officeDocument/2006/relationships/printerSettings" Target="../printerSettings/printerSettings5.bin"/><Relationship Id="rId4" Type="http://schemas.openxmlformats.org/officeDocument/2006/relationships/hyperlink" Target="http://www.minem.gob.pe/minem/archivos/BALANCE%20E%20INDICADORES%202014.pdf" TargetMode="External"/><Relationship Id="rId9" Type="http://schemas.openxmlformats.org/officeDocument/2006/relationships/hyperlink" Target="https://www.ghgprotocol.org/sites/default/files/ghgp/Global-Warming-Potential-Values%20%28Feb%2016%202016%29_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41"/>
  <sheetViews>
    <sheetView workbookViewId="0">
      <selection activeCell="C12" sqref="C12"/>
    </sheetView>
  </sheetViews>
  <sheetFormatPr baseColWidth="10" defaultColWidth="11.42578125" defaultRowHeight="15" x14ac:dyDescent="0.25"/>
  <cols>
    <col min="1" max="1" width="4" style="1" bestFit="1" customWidth="1"/>
    <col min="2" max="2" width="20.85546875" style="1" customWidth="1"/>
    <col min="3" max="3" width="139" style="1" customWidth="1"/>
    <col min="4" max="4" width="29.28515625" style="1" customWidth="1"/>
    <col min="5" max="5" width="23.5703125" style="1" customWidth="1"/>
    <col min="6" max="16384" width="11.42578125" style="1"/>
  </cols>
  <sheetData>
    <row r="2" spans="1:5" s="2" customFormat="1" x14ac:dyDescent="0.25">
      <c r="A2" s="2">
        <v>1.2</v>
      </c>
      <c r="B2" s="3" t="s">
        <v>18</v>
      </c>
    </row>
    <row r="3" spans="1:5" ht="15.75" thickBot="1" x14ac:dyDescent="0.3"/>
    <row r="4" spans="1:5" ht="15" customHeight="1" x14ac:dyDescent="0.25">
      <c r="B4" s="234" t="s">
        <v>21</v>
      </c>
      <c r="C4" s="235"/>
      <c r="D4" s="235"/>
      <c r="E4" s="236"/>
    </row>
    <row r="5" spans="1:5" x14ac:dyDescent="0.25">
      <c r="B5" s="237"/>
      <c r="C5" s="238"/>
      <c r="D5" s="238"/>
      <c r="E5" s="239"/>
    </row>
    <row r="6" spans="1:5" ht="15.75" thickBot="1" x14ac:dyDescent="0.3">
      <c r="B6" s="240"/>
      <c r="C6" s="241"/>
      <c r="D6" s="241"/>
      <c r="E6" s="242"/>
    </row>
    <row r="8" spans="1:5" x14ac:dyDescent="0.25">
      <c r="B8" s="4" t="s">
        <v>0</v>
      </c>
      <c r="C8" s="4" t="s">
        <v>1</v>
      </c>
      <c r="D8" s="4" t="s">
        <v>2</v>
      </c>
      <c r="E8" s="4" t="s">
        <v>3</v>
      </c>
    </row>
    <row r="9" spans="1:5" ht="60" x14ac:dyDescent="0.25">
      <c r="B9" s="7" t="s">
        <v>19</v>
      </c>
      <c r="C9" s="6" t="s">
        <v>141</v>
      </c>
      <c r="D9" s="11" t="s">
        <v>20</v>
      </c>
      <c r="E9" s="5" t="s">
        <v>22</v>
      </c>
    </row>
    <row r="11" spans="1:5" ht="15.75" x14ac:dyDescent="0.25">
      <c r="B11" s="8" t="s">
        <v>122</v>
      </c>
    </row>
    <row r="13" spans="1:5" x14ac:dyDescent="0.25">
      <c r="B13"/>
    </row>
    <row r="16" spans="1:5" x14ac:dyDescent="0.25">
      <c r="B16" s="1" t="s">
        <v>4</v>
      </c>
    </row>
    <row r="17" spans="2:7" ht="18.75" x14ac:dyDescent="0.35">
      <c r="B17" s="9" t="s">
        <v>9</v>
      </c>
      <c r="C17" s="9" t="s">
        <v>10</v>
      </c>
      <c r="D17" s="9"/>
      <c r="E17" s="9"/>
      <c r="F17" s="9"/>
      <c r="G17" s="9"/>
    </row>
    <row r="18" spans="2:7" ht="18.75" x14ac:dyDescent="0.35">
      <c r="B18" s="9" t="s">
        <v>11</v>
      </c>
      <c r="C18" s="9" t="s">
        <v>12</v>
      </c>
      <c r="D18" s="9"/>
      <c r="E18" s="9"/>
      <c r="F18" s="9"/>
      <c r="G18" s="9"/>
    </row>
    <row r="19" spans="2:7" ht="18.75" x14ac:dyDescent="0.35">
      <c r="B19" s="9" t="s">
        <v>13</v>
      </c>
      <c r="C19" s="9" t="s">
        <v>14</v>
      </c>
      <c r="D19"/>
      <c r="E19" s="9"/>
      <c r="F19" s="9"/>
      <c r="G19" s="9"/>
    </row>
    <row r="20" spans="2:7" ht="18.75" x14ac:dyDescent="0.35">
      <c r="B20" s="9" t="s">
        <v>15</v>
      </c>
      <c r="C20" s="9" t="s">
        <v>5</v>
      </c>
      <c r="D20" s="9"/>
      <c r="E20" s="9"/>
      <c r="F20" s="9"/>
      <c r="G20" s="9"/>
    </row>
    <row r="21" spans="2:7" x14ac:dyDescent="0.25">
      <c r="B21" s="9" t="s">
        <v>6</v>
      </c>
      <c r="C21" s="9" t="s">
        <v>7</v>
      </c>
      <c r="D21" s="9"/>
      <c r="E21" s="9"/>
      <c r="F21" s="9"/>
      <c r="G21" s="9"/>
    </row>
    <row r="22" spans="2:7" ht="18.75" x14ac:dyDescent="0.35">
      <c r="B22" s="9" t="s">
        <v>16</v>
      </c>
      <c r="C22" s="9" t="s">
        <v>17</v>
      </c>
      <c r="D22" s="9"/>
      <c r="E22" s="9"/>
      <c r="F22" s="9"/>
      <c r="G22" s="9"/>
    </row>
    <row r="24" spans="2:7" ht="15.75" x14ac:dyDescent="0.25">
      <c r="B24" s="8" t="s">
        <v>123</v>
      </c>
    </row>
    <row r="26" spans="2:7" ht="24" x14ac:dyDescent="0.25">
      <c r="B26" s="94" t="s">
        <v>114</v>
      </c>
    </row>
    <row r="28" spans="2:7" x14ac:dyDescent="0.25">
      <c r="B28" s="1" t="s">
        <v>100</v>
      </c>
    </row>
    <row r="29" spans="2:7" ht="18" x14ac:dyDescent="0.35">
      <c r="B29" s="1" t="s">
        <v>115</v>
      </c>
      <c r="C29" s="9" t="s">
        <v>176</v>
      </c>
    </row>
    <row r="30" spans="2:7" ht="18" x14ac:dyDescent="0.35">
      <c r="B30" s="1" t="s">
        <v>103</v>
      </c>
      <c r="C30" s="9" t="s">
        <v>175</v>
      </c>
    </row>
    <row r="31" spans="2:7" ht="18" x14ac:dyDescent="0.35">
      <c r="B31" s="1" t="s">
        <v>102</v>
      </c>
      <c r="C31" s="9" t="s">
        <v>183</v>
      </c>
    </row>
    <row r="32" spans="2:7" ht="18" x14ac:dyDescent="0.35">
      <c r="B32" s="1" t="s">
        <v>101</v>
      </c>
      <c r="C32" s="9" t="s">
        <v>177</v>
      </c>
    </row>
    <row r="33" spans="2:3" ht="18" x14ac:dyDescent="0.35">
      <c r="B33" s="1" t="s">
        <v>108</v>
      </c>
      <c r="C33" s="9" t="s">
        <v>110</v>
      </c>
    </row>
    <row r="34" spans="2:3" ht="18" x14ac:dyDescent="0.35">
      <c r="B34" s="1" t="s">
        <v>109</v>
      </c>
      <c r="C34" s="9" t="s">
        <v>111</v>
      </c>
    </row>
    <row r="35" spans="2:3" ht="18" x14ac:dyDescent="0.35">
      <c r="B35" s="1" t="s">
        <v>104</v>
      </c>
      <c r="C35" s="9" t="s">
        <v>105</v>
      </c>
    </row>
    <row r="36" spans="2:3" ht="18" x14ac:dyDescent="0.35">
      <c r="B36" s="1" t="s">
        <v>106</v>
      </c>
      <c r="C36" s="9" t="s">
        <v>183</v>
      </c>
    </row>
    <row r="37" spans="2:3" ht="18" x14ac:dyDescent="0.35">
      <c r="B37" s="1" t="s">
        <v>107</v>
      </c>
      <c r="C37" s="9" t="s">
        <v>178</v>
      </c>
    </row>
    <row r="38" spans="2:3" ht="18" x14ac:dyDescent="0.35">
      <c r="B38" s="1" t="s">
        <v>120</v>
      </c>
      <c r="C38" s="9" t="s">
        <v>112</v>
      </c>
    </row>
    <row r="39" spans="2:3" ht="18" x14ac:dyDescent="0.35">
      <c r="B39" s="1" t="s">
        <v>121</v>
      </c>
      <c r="C39" s="9" t="s">
        <v>113</v>
      </c>
    </row>
    <row r="40" spans="2:3" ht="18" x14ac:dyDescent="0.35">
      <c r="B40" s="1" t="s">
        <v>116</v>
      </c>
      <c r="C40" s="9" t="s">
        <v>118</v>
      </c>
    </row>
    <row r="41" spans="2:3" ht="18" x14ac:dyDescent="0.35">
      <c r="B41" s="1" t="s">
        <v>117</v>
      </c>
      <c r="C41" s="9" t="s">
        <v>119</v>
      </c>
    </row>
  </sheetData>
  <mergeCells count="1">
    <mergeCell ref="B4:E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12"/>
  <sheetViews>
    <sheetView workbookViewId="0">
      <selection activeCell="C20" sqref="C20"/>
    </sheetView>
  </sheetViews>
  <sheetFormatPr baseColWidth="10" defaultColWidth="11.42578125" defaultRowHeight="15" x14ac:dyDescent="0.25"/>
  <cols>
    <col min="1" max="1" width="4" style="1" bestFit="1" customWidth="1"/>
    <col min="2" max="2" width="22.7109375" style="1" customWidth="1"/>
    <col min="3" max="3" width="58.7109375" style="1" customWidth="1"/>
    <col min="4" max="4" width="24.85546875" style="1" customWidth="1"/>
    <col min="5" max="5" width="26" style="1" customWidth="1"/>
    <col min="6" max="6" width="29.5703125" style="1" customWidth="1"/>
    <col min="7" max="7" width="34.140625" style="1" customWidth="1"/>
    <col min="8" max="16384" width="11.42578125" style="1"/>
  </cols>
  <sheetData>
    <row r="2" spans="1:7" s="2" customFormat="1" x14ac:dyDescent="0.25">
      <c r="A2" s="2">
        <v>1.2</v>
      </c>
      <c r="B2" s="3" t="s">
        <v>18</v>
      </c>
    </row>
    <row r="3" spans="1:7" x14ac:dyDescent="0.25">
      <c r="B3" s="243" t="s">
        <v>23</v>
      </c>
      <c r="C3" s="243"/>
      <c r="D3" s="243"/>
      <c r="E3" s="243"/>
      <c r="F3" s="243"/>
      <c r="G3" s="243"/>
    </row>
    <row r="4" spans="1:7" x14ac:dyDescent="0.25">
      <c r="B4" s="12" t="s">
        <v>24</v>
      </c>
      <c r="D4" s="12" t="s">
        <v>25</v>
      </c>
    </row>
    <row r="5" spans="1:7" x14ac:dyDescent="0.25">
      <c r="B5" s="13" t="s">
        <v>26</v>
      </c>
      <c r="D5" s="14" t="s">
        <v>27</v>
      </c>
    </row>
    <row r="6" spans="1:7" x14ac:dyDescent="0.25">
      <c r="D6" s="1" t="s">
        <v>28</v>
      </c>
    </row>
    <row r="8" spans="1:7" x14ac:dyDescent="0.25">
      <c r="B8" s="15" t="s">
        <v>29</v>
      </c>
      <c r="C8" s="15" t="s">
        <v>30</v>
      </c>
      <c r="D8" s="15" t="s">
        <v>31</v>
      </c>
      <c r="E8" s="16" t="s">
        <v>32</v>
      </c>
      <c r="F8" s="17" t="s">
        <v>33</v>
      </c>
      <c r="G8" s="17" t="s">
        <v>34</v>
      </c>
    </row>
    <row r="9" spans="1:7" x14ac:dyDescent="0.25">
      <c r="B9" s="244" t="s">
        <v>35</v>
      </c>
      <c r="C9" s="245"/>
      <c r="D9" s="245"/>
      <c r="E9" s="245"/>
      <c r="F9" s="245"/>
      <c r="G9" s="246"/>
    </row>
    <row r="10" spans="1:7" ht="41.25" customHeight="1" x14ac:dyDescent="0.25">
      <c r="B10" s="18" t="s">
        <v>36</v>
      </c>
      <c r="C10" s="19" t="s">
        <v>37</v>
      </c>
      <c r="D10" s="20" t="s">
        <v>38</v>
      </c>
      <c r="E10" s="20" t="s">
        <v>39</v>
      </c>
      <c r="F10" s="20" t="s">
        <v>40</v>
      </c>
      <c r="G10" s="20" t="s">
        <v>41</v>
      </c>
    </row>
    <row r="11" spans="1:7" ht="24" x14ac:dyDescent="0.25">
      <c r="B11" s="18" t="s">
        <v>42</v>
      </c>
      <c r="C11" s="20" t="s">
        <v>50</v>
      </c>
      <c r="D11" s="20" t="s">
        <v>51</v>
      </c>
      <c r="E11" s="20" t="s">
        <v>52</v>
      </c>
      <c r="F11" s="20" t="s">
        <v>53</v>
      </c>
      <c r="G11" s="20" t="s">
        <v>43</v>
      </c>
    </row>
    <row r="12" spans="1:7" ht="24" x14ac:dyDescent="0.25">
      <c r="B12" s="18" t="s">
        <v>44</v>
      </c>
      <c r="C12" s="20" t="s">
        <v>45</v>
      </c>
      <c r="D12" s="20" t="s">
        <v>46</v>
      </c>
      <c r="E12" s="20" t="s">
        <v>47</v>
      </c>
      <c r="F12" s="20" t="s">
        <v>48</v>
      </c>
      <c r="G12" s="20" t="s">
        <v>49</v>
      </c>
    </row>
  </sheetData>
  <mergeCells count="2">
    <mergeCell ref="B3:G3"/>
    <mergeCell ref="B9:G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T43"/>
  <sheetViews>
    <sheetView topLeftCell="A10" zoomScale="85" zoomScaleNormal="85" workbookViewId="0">
      <selection activeCell="G38" sqref="G38"/>
    </sheetView>
  </sheetViews>
  <sheetFormatPr baseColWidth="10" defaultColWidth="11.42578125" defaultRowHeight="15" x14ac:dyDescent="0.25"/>
  <cols>
    <col min="1" max="1" width="3" style="1" customWidth="1"/>
    <col min="2" max="2" width="27.140625" style="1" bestFit="1" customWidth="1"/>
    <col min="3" max="3" width="26.85546875" style="1" customWidth="1"/>
    <col min="4" max="4" width="23.7109375" style="1" customWidth="1"/>
    <col min="5" max="5" width="28.7109375" style="1" customWidth="1"/>
    <col min="6" max="6" width="29.85546875" style="1" customWidth="1"/>
    <col min="7" max="7" width="37.85546875" style="1" bestFit="1" customWidth="1"/>
    <col min="8" max="8" width="23.28515625" style="1" customWidth="1"/>
    <col min="9" max="9" width="32.7109375" style="1" customWidth="1"/>
    <col min="10" max="10" width="23.7109375" style="1" customWidth="1"/>
    <col min="11" max="11" width="28.140625" style="1" customWidth="1"/>
    <col min="12" max="12" width="28" style="1" customWidth="1"/>
    <col min="13" max="13" width="43.140625" style="1" customWidth="1"/>
    <col min="14" max="14" width="37.85546875" style="1" customWidth="1"/>
    <col min="15" max="15" width="22.5703125" style="1" customWidth="1"/>
    <col min="16" max="16" width="22.7109375" style="1" customWidth="1"/>
    <col min="17" max="17" width="34" style="1" customWidth="1"/>
    <col min="18" max="18" width="30.140625" style="1" customWidth="1"/>
    <col min="19" max="19" width="32.42578125" style="1" customWidth="1"/>
    <col min="20" max="20" width="26.28515625" style="1" customWidth="1"/>
    <col min="21" max="16384" width="11.42578125" style="1"/>
  </cols>
  <sheetData>
    <row r="1" spans="2:11" ht="12" customHeight="1" x14ac:dyDescent="0.25"/>
    <row r="2" spans="2:11" ht="12" customHeight="1" x14ac:dyDescent="0.25">
      <c r="B2" s="10" t="s">
        <v>67</v>
      </c>
      <c r="C2" s="101" t="s">
        <v>124</v>
      </c>
      <c r="D2" s="102" t="s">
        <v>125</v>
      </c>
    </row>
    <row r="3" spans="2:11" ht="33.75" x14ac:dyDescent="0.25">
      <c r="B3" s="95" t="s">
        <v>198</v>
      </c>
      <c r="C3" s="21" t="s">
        <v>56</v>
      </c>
      <c r="D3" s="21" t="s">
        <v>56</v>
      </c>
      <c r="E3" s="21" t="s">
        <v>57</v>
      </c>
      <c r="F3" s="21" t="s">
        <v>58</v>
      </c>
      <c r="G3" s="21" t="s">
        <v>59</v>
      </c>
      <c r="H3" s="22" t="s">
        <v>60</v>
      </c>
      <c r="I3" s="21" t="s">
        <v>189</v>
      </c>
      <c r="J3" s="188" t="s">
        <v>201</v>
      </c>
      <c r="K3" s="188" t="s">
        <v>202</v>
      </c>
    </row>
    <row r="4" spans="2:11" ht="25.5" customHeight="1" x14ac:dyDescent="0.25">
      <c r="B4" s="23" t="s">
        <v>61</v>
      </c>
      <c r="C4" s="23" t="s">
        <v>126</v>
      </c>
      <c r="D4" s="23" t="s">
        <v>62</v>
      </c>
      <c r="E4" s="23" t="s">
        <v>63</v>
      </c>
      <c r="F4" s="23" t="s">
        <v>64</v>
      </c>
      <c r="G4" s="23" t="s">
        <v>65</v>
      </c>
      <c r="H4" s="23" t="s">
        <v>66</v>
      </c>
      <c r="I4" s="23" t="s">
        <v>190</v>
      </c>
      <c r="J4" s="189" t="s">
        <v>203</v>
      </c>
      <c r="K4" s="189" t="s">
        <v>203</v>
      </c>
    </row>
    <row r="5" spans="2:11" x14ac:dyDescent="0.25">
      <c r="B5" s="154">
        <v>25</v>
      </c>
      <c r="C5" s="154" t="s">
        <v>77</v>
      </c>
      <c r="D5" s="154" t="s">
        <v>76</v>
      </c>
      <c r="E5" s="186">
        <v>15000</v>
      </c>
      <c r="F5" s="154">
        <v>2015</v>
      </c>
      <c r="G5" s="155">
        <v>43524</v>
      </c>
      <c r="H5" s="154" t="s">
        <v>69</v>
      </c>
      <c r="I5" s="187">
        <f>((Variables!G17-Variables!G15)/(1-Factores!C9)*1/1000*Factores!Q9*E5)</f>
        <v>21135.05554248593</v>
      </c>
      <c r="J5" s="190">
        <f>(Variables!G17-Variables!G15)*Formato!E5/1000</f>
        <v>29894.425556027782</v>
      </c>
      <c r="K5" s="191">
        <f>J5*1000*Factores!L39</f>
        <v>107619932.00170001</v>
      </c>
    </row>
    <row r="6" spans="2:11" x14ac:dyDescent="0.25">
      <c r="B6" s="154">
        <v>50</v>
      </c>
      <c r="C6" s="154" t="s">
        <v>77</v>
      </c>
      <c r="D6" s="154" t="s">
        <v>76</v>
      </c>
      <c r="E6" s="186">
        <v>15000</v>
      </c>
      <c r="F6" s="154">
        <v>2015</v>
      </c>
      <c r="G6" s="155">
        <v>43524</v>
      </c>
      <c r="H6" s="154" t="s">
        <v>69</v>
      </c>
      <c r="I6" s="187">
        <f>((Variables!G20-Variables!G18)/(1-Factores!C9)*1/1000*Factores!Q9*E6)</f>
        <v>42270.111084971701</v>
      </c>
    </row>
    <row r="7" spans="2:11" x14ac:dyDescent="0.25">
      <c r="B7" s="154">
        <v>25</v>
      </c>
      <c r="C7" s="154" t="s">
        <v>77</v>
      </c>
      <c r="D7" s="154" t="s">
        <v>76</v>
      </c>
      <c r="E7" s="186">
        <v>15000</v>
      </c>
      <c r="F7" s="154">
        <v>2016</v>
      </c>
      <c r="G7" s="155">
        <v>43524</v>
      </c>
      <c r="H7" s="154" t="s">
        <v>69</v>
      </c>
      <c r="I7" s="187">
        <f>((Variables!G17-Variables!G15)/(1-Factores!C10)*1/1000*Factores!Q10*E7)</f>
        <v>13819.880905193988</v>
      </c>
    </row>
    <row r="8" spans="2:11" x14ac:dyDescent="0.25">
      <c r="B8" s="154">
        <v>25</v>
      </c>
      <c r="C8" s="154" t="s">
        <v>77</v>
      </c>
      <c r="D8" s="154" t="s">
        <v>76</v>
      </c>
      <c r="E8" s="186">
        <v>25000</v>
      </c>
      <c r="F8" s="154">
        <v>2017</v>
      </c>
      <c r="G8" s="155">
        <v>43524</v>
      </c>
      <c r="H8" s="154" t="s">
        <v>69</v>
      </c>
      <c r="I8" s="187">
        <f>((Variables!G17-Variables!G15)/(1-Factores!C11)*1/1000*Factores!Q11*E8)</f>
        <v>23007.312941942902</v>
      </c>
    </row>
    <row r="9" spans="2:11" x14ac:dyDescent="0.25">
      <c r="B9" s="154">
        <v>50</v>
      </c>
      <c r="C9" s="154" t="s">
        <v>77</v>
      </c>
      <c r="D9" s="154" t="s">
        <v>76</v>
      </c>
      <c r="E9" s="186">
        <v>10000</v>
      </c>
      <c r="F9" s="154">
        <v>2018</v>
      </c>
      <c r="G9" s="155">
        <v>43524</v>
      </c>
      <c r="H9" s="154" t="s">
        <v>69</v>
      </c>
      <c r="I9" s="187">
        <f>((Variables!G20-Variables!G18)/(1-Factores!C12)*1/1000*Factores!Q12*E9)</f>
        <v>18405.850353554255</v>
      </c>
    </row>
    <row r="10" spans="2:11" x14ac:dyDescent="0.25">
      <c r="B10" s="104"/>
      <c r="C10" s="104"/>
      <c r="D10" s="104"/>
      <c r="E10" s="183"/>
      <c r="F10" s="104"/>
      <c r="G10" s="184"/>
      <c r="H10" s="104"/>
      <c r="I10" s="185"/>
    </row>
    <row r="11" spans="2:11" x14ac:dyDescent="0.25">
      <c r="B11" s="104"/>
      <c r="C11" s="104"/>
      <c r="D11" s="104"/>
      <c r="E11" s="183"/>
      <c r="F11" s="104"/>
      <c r="G11" s="184"/>
      <c r="H11" s="104"/>
      <c r="I11" s="183"/>
    </row>
    <row r="12" spans="2:11" x14ac:dyDescent="0.25">
      <c r="B12" s="104"/>
      <c r="C12" s="104"/>
      <c r="D12" s="104"/>
      <c r="E12" s="183"/>
      <c r="F12" s="104"/>
      <c r="G12" s="184"/>
      <c r="H12" s="104"/>
      <c r="I12" s="183"/>
    </row>
    <row r="13" spans="2:11" x14ac:dyDescent="0.25">
      <c r="B13" s="104"/>
      <c r="C13" s="104"/>
      <c r="D13" s="104"/>
      <c r="E13" s="24"/>
      <c r="F13" s="24"/>
      <c r="G13" s="24"/>
      <c r="H13" s="24"/>
      <c r="I13" s="114"/>
    </row>
    <row r="14" spans="2:11" x14ac:dyDescent="0.25">
      <c r="B14" s="104"/>
      <c r="C14" s="104"/>
      <c r="D14" s="104"/>
      <c r="E14" s="24"/>
      <c r="F14" s="24"/>
      <c r="G14" s="24"/>
      <c r="H14" s="24"/>
      <c r="I14" s="114"/>
    </row>
    <row r="15" spans="2:11" x14ac:dyDescent="0.25">
      <c r="B15" s="181"/>
      <c r="C15" s="181"/>
      <c r="D15" s="181"/>
      <c r="E15" s="182"/>
      <c r="F15" s="182"/>
      <c r="G15" s="108"/>
      <c r="H15" s="108"/>
      <c r="I15" s="182"/>
      <c r="J15" s="182"/>
      <c r="K15" s="108"/>
    </row>
    <row r="16" spans="2:11" x14ac:dyDescent="0.25">
      <c r="B16" s="181"/>
      <c r="C16" s="181"/>
      <c r="D16" s="181"/>
      <c r="E16" s="182"/>
      <c r="F16" s="182"/>
      <c r="G16" s="108"/>
      <c r="H16" s="108"/>
      <c r="I16" s="182"/>
      <c r="J16" s="182"/>
      <c r="K16" s="108"/>
    </row>
    <row r="17" spans="2:11" x14ac:dyDescent="0.25">
      <c r="B17" s="181"/>
      <c r="C17" s="181"/>
      <c r="D17" s="181"/>
      <c r="E17" s="182"/>
      <c r="F17" s="182"/>
      <c r="G17" s="108"/>
      <c r="H17" s="108"/>
      <c r="I17" s="182"/>
      <c r="J17" s="182"/>
      <c r="K17" s="108"/>
    </row>
    <row r="18" spans="2:11" x14ac:dyDescent="0.25">
      <c r="B18" s="181"/>
      <c r="C18" s="181"/>
      <c r="D18" s="181"/>
      <c r="E18" s="182"/>
      <c r="F18" s="182"/>
      <c r="G18" s="108"/>
      <c r="H18" s="108"/>
      <c r="I18" s="182"/>
      <c r="J18" s="182"/>
      <c r="K18" s="108"/>
    </row>
    <row r="19" spans="2:11" x14ac:dyDescent="0.25">
      <c r="B19" s="181"/>
      <c r="C19" s="181"/>
      <c r="D19" s="181"/>
      <c r="E19" s="182"/>
      <c r="F19" s="182"/>
      <c r="G19" s="108"/>
      <c r="H19" s="108"/>
      <c r="I19" s="182"/>
      <c r="J19" s="182"/>
      <c r="K19" s="108"/>
    </row>
    <row r="20" spans="2:11" x14ac:dyDescent="0.25">
      <c r="B20" s="181"/>
      <c r="C20" s="181"/>
      <c r="D20" s="181"/>
      <c r="E20" s="182"/>
      <c r="F20" s="182"/>
      <c r="G20" s="108"/>
      <c r="H20" s="108"/>
      <c r="I20" s="182"/>
      <c r="J20" s="182"/>
      <c r="K20" s="108"/>
    </row>
    <row r="21" spans="2:11" x14ac:dyDescent="0.25">
      <c r="B21" s="181"/>
      <c r="C21" s="181"/>
      <c r="D21" s="181"/>
      <c r="E21" s="182"/>
      <c r="F21" s="182"/>
      <c r="G21" s="108"/>
      <c r="H21" s="108"/>
      <c r="I21" s="182"/>
      <c r="J21" s="182"/>
      <c r="K21" s="108"/>
    </row>
    <row r="22" spans="2:11" x14ac:dyDescent="0.25">
      <c r="B22" s="181"/>
      <c r="C22" s="181"/>
      <c r="D22" s="181"/>
      <c r="E22" s="182"/>
      <c r="F22" s="182"/>
      <c r="G22" s="108"/>
      <c r="H22" s="108"/>
      <c r="I22" s="182"/>
      <c r="J22" s="182"/>
      <c r="K22" s="108"/>
    </row>
    <row r="23" spans="2:11" x14ac:dyDescent="0.25">
      <c r="B23" s="181"/>
      <c r="C23" s="181"/>
      <c r="D23" s="181"/>
      <c r="E23" s="182"/>
      <c r="F23" s="182"/>
      <c r="G23" s="108"/>
      <c r="H23" s="108"/>
      <c r="I23" s="182"/>
      <c r="J23" s="182"/>
      <c r="K23" s="108"/>
    </row>
    <row r="24" spans="2:11" x14ac:dyDescent="0.25">
      <c r="B24" s="181"/>
      <c r="C24" s="181"/>
      <c r="D24" s="181"/>
      <c r="E24" s="182"/>
      <c r="F24" s="182"/>
      <c r="G24" s="108"/>
      <c r="H24" s="108"/>
      <c r="I24" s="182"/>
      <c r="J24" s="182"/>
      <c r="K24" s="108"/>
    </row>
    <row r="25" spans="2:11" hidden="1" x14ac:dyDescent="0.25"/>
    <row r="26" spans="2:11" hidden="1" x14ac:dyDescent="0.25">
      <c r="B26" s="10" t="s">
        <v>93</v>
      </c>
      <c r="C26" s="101" t="s">
        <v>124</v>
      </c>
      <c r="D26" s="102" t="s">
        <v>125</v>
      </c>
    </row>
    <row r="27" spans="2:11" ht="30" hidden="1" x14ac:dyDescent="0.25">
      <c r="B27" s="95" t="s">
        <v>55</v>
      </c>
      <c r="C27" s="21" t="s">
        <v>56</v>
      </c>
      <c r="D27" s="21" t="s">
        <v>56</v>
      </c>
      <c r="E27" s="21" t="s">
        <v>57</v>
      </c>
      <c r="F27" s="21" t="s">
        <v>58</v>
      </c>
      <c r="G27" s="21" t="s">
        <v>59</v>
      </c>
      <c r="H27" s="22" t="s">
        <v>60</v>
      </c>
    </row>
    <row r="28" spans="2:11" ht="26.25" hidden="1" customHeight="1" x14ac:dyDescent="0.25">
      <c r="B28" s="23" t="s">
        <v>61</v>
      </c>
      <c r="C28" s="23" t="s">
        <v>126</v>
      </c>
      <c r="D28" s="23" t="s">
        <v>62</v>
      </c>
      <c r="E28" s="23" t="s">
        <v>63</v>
      </c>
      <c r="F28" s="23" t="s">
        <v>64</v>
      </c>
      <c r="G28" s="23" t="s">
        <v>65</v>
      </c>
      <c r="H28" s="23" t="s">
        <v>66</v>
      </c>
    </row>
    <row r="29" spans="2:11" hidden="1" x14ac:dyDescent="0.25">
      <c r="B29" s="121">
        <v>25</v>
      </c>
      <c r="C29" s="121" t="s">
        <v>77</v>
      </c>
      <c r="D29" s="121" t="s">
        <v>76</v>
      </c>
      <c r="E29" s="121">
        <v>10</v>
      </c>
      <c r="F29" s="121">
        <v>2018</v>
      </c>
      <c r="G29" s="122">
        <v>43524</v>
      </c>
      <c r="H29" s="121" t="s">
        <v>69</v>
      </c>
    </row>
    <row r="30" spans="2:11" hidden="1" x14ac:dyDescent="0.25">
      <c r="B30" s="24"/>
      <c r="C30" s="104"/>
      <c r="D30" s="104"/>
      <c r="E30" s="24"/>
      <c r="F30" s="24"/>
      <c r="G30" s="24"/>
      <c r="H30" s="24"/>
    </row>
    <row r="31" spans="2:11" hidden="1" x14ac:dyDescent="0.25">
      <c r="B31" s="24"/>
      <c r="C31" s="104"/>
      <c r="D31" s="104"/>
      <c r="E31" s="24"/>
      <c r="F31" s="24"/>
      <c r="G31" s="24"/>
      <c r="H31" s="24"/>
    </row>
    <row r="32" spans="2:11" hidden="1" x14ac:dyDescent="0.25">
      <c r="B32" s="24"/>
      <c r="C32" s="104"/>
      <c r="D32" s="104"/>
      <c r="E32" s="24"/>
      <c r="F32" s="24"/>
      <c r="G32" s="24"/>
      <c r="H32" s="24"/>
    </row>
    <row r="33" spans="2:20" hidden="1" x14ac:dyDescent="0.25">
      <c r="B33" s="123" t="s">
        <v>182</v>
      </c>
      <c r="C33" s="124"/>
    </row>
    <row r="34" spans="2:20" x14ac:dyDescent="0.25">
      <c r="B34" s="10" t="s">
        <v>93</v>
      </c>
    </row>
    <row r="35" spans="2:20" x14ac:dyDescent="0.25">
      <c r="B35" s="247" t="s">
        <v>124</v>
      </c>
      <c r="C35" s="247"/>
      <c r="D35" s="247"/>
      <c r="E35" s="247"/>
      <c r="F35" s="247"/>
      <c r="G35" s="247"/>
      <c r="H35" s="247"/>
      <c r="I35" s="248" t="s">
        <v>125</v>
      </c>
      <c r="J35" s="248"/>
      <c r="K35" s="248"/>
      <c r="L35" s="248"/>
      <c r="M35" s="248"/>
      <c r="N35" s="248"/>
      <c r="O35" s="248"/>
    </row>
    <row r="36" spans="2:20" ht="33.75" x14ac:dyDescent="0.25">
      <c r="B36" s="21" t="s">
        <v>94</v>
      </c>
      <c r="C36" s="21" t="s">
        <v>95</v>
      </c>
      <c r="D36" s="21" t="s">
        <v>170</v>
      </c>
      <c r="E36" s="21" t="s">
        <v>194</v>
      </c>
      <c r="F36" s="21" t="s">
        <v>193</v>
      </c>
      <c r="G36" s="21" t="s">
        <v>196</v>
      </c>
      <c r="H36" s="21" t="s">
        <v>197</v>
      </c>
      <c r="I36" s="21" t="s">
        <v>94</v>
      </c>
      <c r="J36" s="21" t="s">
        <v>95</v>
      </c>
      <c r="K36" s="21" t="s">
        <v>170</v>
      </c>
      <c r="L36" s="21" t="s">
        <v>179</v>
      </c>
      <c r="M36" s="21" t="s">
        <v>193</v>
      </c>
      <c r="N36" s="21" t="s">
        <v>181</v>
      </c>
      <c r="O36" s="21" t="s">
        <v>197</v>
      </c>
      <c r="P36" s="21" t="s">
        <v>58</v>
      </c>
      <c r="Q36" s="21" t="s">
        <v>59</v>
      </c>
      <c r="R36" s="22" t="s">
        <v>60</v>
      </c>
      <c r="S36" s="21" t="s">
        <v>189</v>
      </c>
      <c r="T36" s="188" t="s">
        <v>202</v>
      </c>
    </row>
    <row r="37" spans="2:20" ht="36" x14ac:dyDescent="0.25">
      <c r="B37" s="23" t="s">
        <v>165</v>
      </c>
      <c r="C37" s="23" t="s">
        <v>167</v>
      </c>
      <c r="D37" s="23" t="s">
        <v>168</v>
      </c>
      <c r="E37" s="23"/>
      <c r="F37" s="23" t="s">
        <v>169</v>
      </c>
      <c r="G37" s="23" t="s">
        <v>180</v>
      </c>
      <c r="H37" s="23" t="s">
        <v>195</v>
      </c>
      <c r="I37" s="23" t="s">
        <v>166</v>
      </c>
      <c r="J37" s="23" t="s">
        <v>167</v>
      </c>
      <c r="K37" s="23" t="s">
        <v>168</v>
      </c>
      <c r="L37" s="23"/>
      <c r="M37" s="23" t="s">
        <v>169</v>
      </c>
      <c r="N37" s="23" t="s">
        <v>180</v>
      </c>
      <c r="O37" s="23" t="s">
        <v>195</v>
      </c>
      <c r="P37" s="23" t="s">
        <v>64</v>
      </c>
      <c r="Q37" s="23" t="s">
        <v>65</v>
      </c>
      <c r="R37" s="23" t="s">
        <v>66</v>
      </c>
      <c r="S37" s="23" t="s">
        <v>190</v>
      </c>
      <c r="T37" s="189" t="s">
        <v>203</v>
      </c>
    </row>
    <row r="38" spans="2:20" x14ac:dyDescent="0.25">
      <c r="B38" s="177" t="s">
        <v>143</v>
      </c>
      <c r="C38" s="178">
        <v>54032</v>
      </c>
      <c r="D38" s="177" t="s">
        <v>171</v>
      </c>
      <c r="E38" s="179" t="s">
        <v>191</v>
      </c>
      <c r="F38" s="178">
        <v>55000000</v>
      </c>
      <c r="G38" s="156">
        <f>F38/(C38*Factores!C28)</f>
        <v>6753955.188155219</v>
      </c>
      <c r="H38" s="180">
        <f>(C38*Factores!C28*(Factores!G28+Factores!H28*Factores!C39+Factores!I28*Factores!C40))/F38*1000</f>
        <v>11.496818950794538</v>
      </c>
      <c r="I38" s="177" t="s">
        <v>146</v>
      </c>
      <c r="J38" s="178">
        <v>208054</v>
      </c>
      <c r="K38" s="177" t="s">
        <v>172</v>
      </c>
      <c r="L38" s="179" t="s">
        <v>191</v>
      </c>
      <c r="M38" s="178">
        <v>57050000</v>
      </c>
      <c r="N38" s="156">
        <f>M38/(J38*Factores!$C$30)</f>
        <v>7609065.6254762057</v>
      </c>
      <c r="O38" s="157">
        <f>(J38*Factores!$C$30*(Factores!$G$30+Factores!$H$30*Factores!$C$39+Factores!$I$30*Factores!$C$40))/M38*1000</f>
        <v>7.3830698946829898</v>
      </c>
      <c r="P38" s="154">
        <v>2018</v>
      </c>
      <c r="Q38" s="155">
        <v>43524</v>
      </c>
      <c r="R38" s="154" t="s">
        <v>69</v>
      </c>
      <c r="S38" s="176">
        <f>(H38-O38)*M38/1000000</f>
        <v>234.68938365116378</v>
      </c>
      <c r="T38" s="191">
        <f>(G43-N43)*M38</f>
        <v>949266.9303027197</v>
      </c>
    </row>
    <row r="39" spans="2:20" x14ac:dyDescent="0.25">
      <c r="B39" s="177" t="s">
        <v>145</v>
      </c>
      <c r="C39" s="178">
        <v>183345</v>
      </c>
      <c r="D39" s="177" t="s">
        <v>171</v>
      </c>
      <c r="E39" s="179" t="s">
        <v>192</v>
      </c>
      <c r="F39" s="178">
        <v>113268457</v>
      </c>
      <c r="G39" s="156">
        <f>F39/(C39*Factores!C29)</f>
        <v>4593074.2280864064</v>
      </c>
      <c r="H39" s="180">
        <f>(C39*Factores!C29*(Factores!G29+Factores!H29*Factores!C39+Factores!I29*Factores!C40))/F39*1000</f>
        <v>16.187197573546666</v>
      </c>
      <c r="I39" s="177" t="s">
        <v>146</v>
      </c>
      <c r="J39" s="178">
        <v>768254</v>
      </c>
      <c r="K39" s="177" t="s">
        <v>172</v>
      </c>
      <c r="L39" s="179" t="s">
        <v>192</v>
      </c>
      <c r="M39" s="178">
        <v>132350000</v>
      </c>
      <c r="N39" s="156">
        <f>M39/(J39*Factores!$C$30)</f>
        <v>4780472.9637323013</v>
      </c>
      <c r="O39" s="157">
        <f>(J39*Factores!$C$30*(Factores!$G$30+Factores!$H$30*Factores!$C$39+Factores!$I$30*Factores!$C$40))/M39*1000</f>
        <v>11.751611979049875</v>
      </c>
      <c r="P39" s="154">
        <v>2018</v>
      </c>
      <c r="Q39" s="155">
        <v>43524</v>
      </c>
      <c r="R39" s="154" t="s">
        <v>69</v>
      </c>
      <c r="S39" s="176">
        <f>(H39-O39)*M39/1000000</f>
        <v>587.04975343165029</v>
      </c>
    </row>
    <row r="40" spans="2:20" x14ac:dyDescent="0.25">
      <c r="B40" s="104"/>
      <c r="C40" s="114"/>
      <c r="D40" s="104"/>
      <c r="E40" s="114"/>
      <c r="F40" s="114"/>
      <c r="G40" s="114"/>
      <c r="H40" s="114"/>
      <c r="I40" s="104"/>
      <c r="J40" s="114"/>
      <c r="K40" s="104"/>
      <c r="L40" s="114"/>
      <c r="M40" s="114"/>
      <c r="N40" s="114"/>
      <c r="O40" s="114"/>
      <c r="P40" s="24"/>
      <c r="Q40" s="24"/>
      <c r="R40" s="24"/>
      <c r="S40" s="24"/>
    </row>
    <row r="41" spans="2:20" x14ac:dyDescent="0.25">
      <c r="B41" s="104"/>
      <c r="C41" s="114"/>
      <c r="D41" s="104"/>
      <c r="E41" s="114"/>
      <c r="F41" s="114"/>
      <c r="G41" s="114"/>
      <c r="H41" s="114"/>
      <c r="I41" s="104"/>
      <c r="J41" s="114"/>
      <c r="K41" s="104"/>
      <c r="L41" s="114"/>
      <c r="M41" s="114"/>
      <c r="N41" s="114"/>
      <c r="O41" s="114"/>
      <c r="P41" s="24"/>
      <c r="Q41" s="24"/>
      <c r="R41" s="24"/>
      <c r="S41" s="24"/>
    </row>
    <row r="42" spans="2:20" x14ac:dyDescent="0.25">
      <c r="B42" s="103"/>
    </row>
    <row r="43" spans="2:20" x14ac:dyDescent="0.25">
      <c r="G43" s="193">
        <f>1*1000000/G38</f>
        <v>0.14806139101333612</v>
      </c>
      <c r="H43" s="1" t="s">
        <v>208</v>
      </c>
      <c r="N43" s="193">
        <f>1*1000000/N38</f>
        <v>0.13142218101679415</v>
      </c>
      <c r="O43" s="1" t="s">
        <v>208</v>
      </c>
    </row>
  </sheetData>
  <mergeCells count="2">
    <mergeCell ref="B35:H35"/>
    <mergeCell ref="I35:O35"/>
  </mergeCells>
  <phoneticPr fontId="43" type="noConversion"/>
  <hyperlinks>
    <hyperlink ref="H3" location="'Registro de Responsables'!A1" display="Responsable del registro" xr:uid="{00000000-0004-0000-0200-000000000000}"/>
    <hyperlink ref="H27" location="'Registro de Responsables'!A1" display="Responsable del registro" xr:uid="{00000000-0004-0000-0200-000001000000}"/>
    <hyperlink ref="R36" location="'Registro de Responsables'!A1" display="Responsable del registro" xr:uid="{00000000-0004-0000-0200-000002000000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200-000000000000}">
          <x14:formula1>
            <xm:f>Desplegable!$D$3:$N$3</xm:f>
          </x14:formula1>
          <xm:sqref>B29</xm:sqref>
        </x14:dataValidation>
        <x14:dataValidation type="list" allowBlank="1" showInputMessage="1" showErrorMessage="1" xr:uid="{00000000-0002-0000-0200-000001000000}">
          <x14:formula1>
            <xm:f>Desplegable!$D$4:$N$4</xm:f>
          </x14:formula1>
          <xm:sqref>B30</xm:sqref>
        </x14:dataValidation>
        <x14:dataValidation type="list" allowBlank="1" showInputMessage="1" showErrorMessage="1" xr:uid="{00000000-0002-0000-0200-000002000000}">
          <x14:formula1>
            <xm:f>Variables!$B$3:$B$5</xm:f>
          </x14:formula1>
          <xm:sqref>C5:D24</xm:sqref>
        </x14:dataValidation>
        <x14:dataValidation type="list" allowBlank="1" showInputMessage="1" showErrorMessage="1" xr:uid="{00000000-0002-0000-0200-000003000000}">
          <x14:formula1>
            <xm:f>Desplegable!$B$7:$B$12</xm:f>
          </x14:formula1>
          <xm:sqref>B38:B41 I38:I41</xm:sqref>
        </x14:dataValidation>
        <x14:dataValidation type="list" allowBlank="1" showInputMessage="1" showErrorMessage="1" xr:uid="{00000000-0002-0000-0200-000004000000}">
          <x14:formula1>
            <xm:f>Desplegable!$C$8:$C$10</xm:f>
          </x14:formula1>
          <xm:sqref>K38:K41 D38:D41</xm:sqref>
        </x14:dataValidation>
        <x14:dataValidation type="list" allowBlank="1" showInputMessage="1" showErrorMessage="1" xr:uid="{00000000-0002-0000-0200-000005000000}">
          <x14:formula1>
            <xm:f>Variables!$B$49:$B$51</xm:f>
          </x14:formula1>
          <xm:sqref>D29:D32</xm:sqref>
        </x14:dataValidation>
        <x14:dataValidation type="list" allowBlank="1" showInputMessage="1" showErrorMessage="1" xr:uid="{00000000-0002-0000-0200-000006000000}">
          <x14:formula1>
            <xm:f>Variables!$B$50:$B$51</xm:f>
          </x14:formula1>
          <xm:sqref>C29:C32</xm:sqref>
        </x14:dataValidation>
        <x14:dataValidation type="list" allowBlank="1" showInputMessage="1" showErrorMessage="1" xr:uid="{00000000-0002-0000-0200-000007000000}">
          <x14:formula1>
            <xm:f>Desplegable!$D$3:$P$3</xm:f>
          </x14:formula1>
          <xm:sqref>B5:B24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9E4FF-083A-4622-B6B2-DB0752EE90F2}">
  <dimension ref="B1:U27"/>
  <sheetViews>
    <sheetView tabSelected="1" workbookViewId="0">
      <selection activeCell="R11" sqref="R11"/>
    </sheetView>
  </sheetViews>
  <sheetFormatPr baseColWidth="10" defaultColWidth="11.5703125" defaultRowHeight="15" x14ac:dyDescent="0.25"/>
  <cols>
    <col min="1" max="1" width="1.28515625" style="1" customWidth="1"/>
    <col min="2" max="2" width="12.85546875" style="1" customWidth="1"/>
    <col min="3" max="4" width="11.5703125" style="1" customWidth="1"/>
    <col min="5" max="5" width="11.7109375" style="1" customWidth="1"/>
    <col min="6" max="6" width="13.140625" style="1" customWidth="1"/>
    <col min="7" max="7" width="9.7109375" style="1" customWidth="1"/>
    <col min="8" max="8" width="14.7109375" style="1" customWidth="1"/>
    <col min="9" max="9" width="16.28515625" style="1" customWidth="1"/>
    <col min="10" max="10" width="14.7109375" style="1" bestFit="1" customWidth="1"/>
    <col min="11" max="11" width="11.5703125" style="1" bestFit="1" customWidth="1"/>
    <col min="12" max="12" width="10.5703125" style="1" customWidth="1"/>
    <col min="13" max="13" width="14.28515625" style="1" customWidth="1"/>
    <col min="14" max="14" width="9.140625" style="1" customWidth="1"/>
    <col min="15" max="15" width="13.5703125" style="1" customWidth="1"/>
    <col min="16" max="16" width="14.140625" style="1" bestFit="1" customWidth="1"/>
    <col min="17" max="17" width="12.5703125" style="1" bestFit="1" customWidth="1"/>
    <col min="18" max="18" width="15.28515625" style="1" customWidth="1"/>
    <col min="19" max="19" width="18.28515625" style="1" customWidth="1"/>
    <col min="20" max="16384" width="11.5703125" style="1"/>
  </cols>
  <sheetData>
    <row r="1" spans="2:19" ht="15.75" thickBot="1" x14ac:dyDescent="0.3"/>
    <row r="2" spans="2:19" ht="15.75" thickBot="1" x14ac:dyDescent="0.3">
      <c r="B2" s="249" t="s">
        <v>124</v>
      </c>
      <c r="C2" s="250"/>
      <c r="D2" s="250"/>
      <c r="E2" s="250"/>
      <c r="F2" s="250"/>
      <c r="G2" s="250"/>
      <c r="H2" s="250"/>
      <c r="I2" s="250"/>
      <c r="J2" s="251"/>
      <c r="K2" s="252" t="s">
        <v>209</v>
      </c>
      <c r="L2" s="253"/>
      <c r="M2" s="253"/>
      <c r="N2" s="253"/>
      <c r="O2" s="253"/>
      <c r="P2" s="253"/>
      <c r="Q2" s="253"/>
      <c r="R2" s="253"/>
      <c r="S2" s="254"/>
    </row>
    <row r="3" spans="2:19" ht="48" x14ac:dyDescent="0.25">
      <c r="B3" s="221" t="s">
        <v>94</v>
      </c>
      <c r="C3" s="225" t="s">
        <v>55</v>
      </c>
      <c r="D3" s="225" t="s">
        <v>70</v>
      </c>
      <c r="E3" s="221" t="s">
        <v>210</v>
      </c>
      <c r="F3" s="221" t="s">
        <v>211</v>
      </c>
      <c r="G3" s="221" t="s">
        <v>96</v>
      </c>
      <c r="H3" s="221" t="s">
        <v>212</v>
      </c>
      <c r="I3" s="221" t="s">
        <v>213</v>
      </c>
      <c r="J3" s="221" t="s">
        <v>214</v>
      </c>
      <c r="K3" s="222" t="s">
        <v>94</v>
      </c>
      <c r="L3" s="222" t="s">
        <v>215</v>
      </c>
      <c r="M3" s="222" t="s">
        <v>216</v>
      </c>
      <c r="N3" s="222" t="s">
        <v>96</v>
      </c>
      <c r="O3" s="222" t="s">
        <v>217</v>
      </c>
      <c r="P3" s="222" t="s">
        <v>213</v>
      </c>
      <c r="Q3" s="222" t="s">
        <v>214</v>
      </c>
      <c r="R3" s="223" t="s">
        <v>218</v>
      </c>
      <c r="S3" s="223" t="s">
        <v>219</v>
      </c>
    </row>
    <row r="4" spans="2:19" x14ac:dyDescent="0.25">
      <c r="B4" s="197" t="s">
        <v>143</v>
      </c>
      <c r="C4" s="197">
        <v>100</v>
      </c>
      <c r="D4" s="197"/>
      <c r="E4" s="198">
        <v>0.74</v>
      </c>
      <c r="F4" s="279">
        <f>M4*L4/E4</f>
        <v>270270.2702702703</v>
      </c>
      <c r="G4" s="200" t="s">
        <v>171</v>
      </c>
      <c r="H4" s="279">
        <f>F4*'Factores 2'!C3</f>
        <v>40898611.955384873</v>
      </c>
      <c r="I4" s="279">
        <f>H4*E4</f>
        <v>30264972.846984807</v>
      </c>
      <c r="J4" s="201">
        <f>H4*('Factores 2'!$G$3+'Factores 2'!$H$3*'Factores 2'!$N$4+'Factores 2'!$I$3*'Factores 2'!$N$5)/1000</f>
        <v>3175.7363197236805</v>
      </c>
      <c r="K4" s="197" t="s">
        <v>143</v>
      </c>
      <c r="L4" s="198">
        <v>0.8</v>
      </c>
      <c r="M4" s="202">
        <v>250000</v>
      </c>
      <c r="N4" s="200" t="s">
        <v>171</v>
      </c>
      <c r="O4" s="199">
        <f>M4*'Factores 2'!C3</f>
        <v>37831216.058731005</v>
      </c>
      <c r="P4" s="279">
        <f>O4*L4</f>
        <v>30264972.846984804</v>
      </c>
      <c r="Q4" s="201">
        <f>O4*('Factores 2'!$G$3+'Factores 2'!$H$3*'Factores 2'!$N$4+'Factores 2'!$I$3*'Factores 2'!$N$5)/1000</f>
        <v>2937.556095744404</v>
      </c>
      <c r="R4" s="191">
        <f>H4-O4</f>
        <v>3067395.8966538683</v>
      </c>
      <c r="S4" s="201">
        <f>J4-Q4</f>
        <v>238.18022397927643</v>
      </c>
    </row>
    <row r="5" spans="2:19" x14ac:dyDescent="0.25">
      <c r="B5" s="197" t="s">
        <v>232</v>
      </c>
      <c r="C5" s="197">
        <v>250</v>
      </c>
      <c r="D5" s="197"/>
      <c r="E5" s="198">
        <v>0.74</v>
      </c>
      <c r="F5" s="199">
        <f>M5*L5/E5</f>
        <v>135886.48648648648</v>
      </c>
      <c r="G5" s="200" t="s">
        <v>171</v>
      </c>
      <c r="H5" s="199">
        <f>F5*'Factores 2'!$C$6</f>
        <v>17978025.176815417</v>
      </c>
      <c r="I5" s="199">
        <f t="shared" ref="I5:I6" si="0">H5*E5</f>
        <v>13303738.630843408</v>
      </c>
      <c r="J5" s="201">
        <f>H5*('Factores 2'!$G$6+'Factores 2'!$H$6*'Factores 2'!$N$4+'Factores 2'!$I$6*'Factores 2'!$N$5)/1000</f>
        <v>1333.6818197168752</v>
      </c>
      <c r="K5" s="197" t="s">
        <v>232</v>
      </c>
      <c r="L5" s="198">
        <v>0.8</v>
      </c>
      <c r="M5" s="202">
        <v>125695</v>
      </c>
      <c r="N5" s="200" t="s">
        <v>171</v>
      </c>
      <c r="O5" s="199">
        <f>M5*'Factores 2'!$C$6</f>
        <v>16629673.288554261</v>
      </c>
      <c r="P5" s="199">
        <f t="shared" ref="P5:P6" si="1">O5*L5</f>
        <v>13303738.630843408</v>
      </c>
      <c r="Q5" s="201">
        <f>O5*('Factores 2'!$G$6+'Factores 2'!$H$6*'Factores 2'!$N$4+'Factores 2'!$I$6*'Factores 2'!$N$5)/1000</f>
        <v>1233.6556832381095</v>
      </c>
      <c r="R5" s="191">
        <f t="shared" ref="R5:R6" si="2">H5-O5</f>
        <v>1348351.8882611562</v>
      </c>
      <c r="S5" s="201">
        <f t="shared" ref="S5:S6" si="3">J5-Q5</f>
        <v>100.02613647876569</v>
      </c>
    </row>
    <row r="6" spans="2:19" ht="17.25" x14ac:dyDescent="0.25">
      <c r="B6" s="197" t="s">
        <v>146</v>
      </c>
      <c r="C6" s="197">
        <v>800</v>
      </c>
      <c r="D6" s="197"/>
      <c r="E6" s="198">
        <v>0.74</v>
      </c>
      <c r="F6" s="199">
        <f t="shared" ref="F6" si="4">M6*L6/E6</f>
        <v>3983264.8648648649</v>
      </c>
      <c r="G6" s="200" t="s">
        <v>174</v>
      </c>
      <c r="H6" s="199">
        <f>F6*'Factores 2'!$C$5</f>
        <v>143544790.1312519</v>
      </c>
      <c r="I6" s="199">
        <f t="shared" si="0"/>
        <v>106223144.6971264</v>
      </c>
      <c r="J6" s="201">
        <f>H6*('Factores 2'!$G$5+'Factores 2'!$H$5*'Factores 2'!$N$4+'Factores 2'!$I$5*'Factores 2'!$N$5)/1000</f>
        <v>8064.7429735126734</v>
      </c>
      <c r="K6" s="197" t="s">
        <v>146</v>
      </c>
      <c r="L6" s="198">
        <v>0.8</v>
      </c>
      <c r="M6" s="202">
        <v>3684520</v>
      </c>
      <c r="N6" s="200" t="s">
        <v>174</v>
      </c>
      <c r="O6" s="199">
        <f>M6*'Factores 2'!$C$5</f>
        <v>132778930.87140802</v>
      </c>
      <c r="P6" s="199">
        <f t="shared" si="1"/>
        <v>106223144.69712642</v>
      </c>
      <c r="Q6" s="201">
        <f>O6*('Factores 2'!$G$5+'Factores 2'!$H$5*'Factores 2'!$N$4+'Factores 2'!$I$5*'Factores 2'!$N$5)/1000</f>
        <v>7459.8872504992232</v>
      </c>
      <c r="R6" s="191">
        <f t="shared" si="2"/>
        <v>10765859.259843886</v>
      </c>
      <c r="S6" s="201">
        <f t="shared" si="3"/>
        <v>604.85572301345019</v>
      </c>
    </row>
    <row r="7" spans="2:19" x14ac:dyDescent="0.25">
      <c r="B7" s="229"/>
      <c r="C7" s="229"/>
      <c r="D7" s="229"/>
      <c r="F7" s="1">
        <v>4</v>
      </c>
      <c r="H7" s="204">
        <v>5</v>
      </c>
      <c r="I7" s="204">
        <v>6</v>
      </c>
      <c r="J7" s="1">
        <v>7</v>
      </c>
      <c r="K7" s="229"/>
      <c r="M7" s="229"/>
      <c r="O7" s="204">
        <v>1</v>
      </c>
      <c r="P7" s="204">
        <v>2</v>
      </c>
      <c r="Q7" s="1">
        <v>3</v>
      </c>
      <c r="R7" s="229">
        <v>8</v>
      </c>
      <c r="S7" s="229">
        <v>9</v>
      </c>
    </row>
    <row r="8" spans="2:19" ht="15.75" thickBot="1" x14ac:dyDescent="0.3">
      <c r="H8" s="204"/>
      <c r="I8" s="204"/>
      <c r="O8" s="204"/>
      <c r="P8" s="204"/>
    </row>
    <row r="9" spans="2:19" ht="15.75" thickBot="1" x14ac:dyDescent="0.3">
      <c r="B9" s="249" t="s">
        <v>124</v>
      </c>
      <c r="C9" s="250"/>
      <c r="D9" s="250"/>
      <c r="E9" s="250"/>
      <c r="F9" s="250"/>
      <c r="G9" s="250"/>
      <c r="H9" s="250"/>
      <c r="I9" s="250"/>
      <c r="J9" s="251"/>
      <c r="K9" s="252" t="s">
        <v>209</v>
      </c>
      <c r="L9" s="253"/>
      <c r="M9" s="253"/>
      <c r="N9" s="253"/>
      <c r="O9" s="253"/>
      <c r="P9" s="253"/>
      <c r="Q9" s="253"/>
      <c r="R9" s="253"/>
      <c r="S9" s="254"/>
    </row>
    <row r="10" spans="2:19" ht="48" x14ac:dyDescent="0.25">
      <c r="B10" s="221" t="s">
        <v>94</v>
      </c>
      <c r="C10" s="225" t="s">
        <v>55</v>
      </c>
      <c r="D10" s="225" t="s">
        <v>70</v>
      </c>
      <c r="E10" s="221" t="s">
        <v>210</v>
      </c>
      <c r="F10" s="221" t="s">
        <v>211</v>
      </c>
      <c r="G10" s="221" t="s">
        <v>96</v>
      </c>
      <c r="H10" s="221" t="s">
        <v>212</v>
      </c>
      <c r="I10" s="221" t="s">
        <v>213</v>
      </c>
      <c r="J10" s="221" t="s">
        <v>214</v>
      </c>
      <c r="K10" s="222" t="s">
        <v>94</v>
      </c>
      <c r="L10" s="222" t="s">
        <v>215</v>
      </c>
      <c r="M10" s="222" t="s">
        <v>216</v>
      </c>
      <c r="N10" s="222" t="s">
        <v>96</v>
      </c>
      <c r="O10" s="224" t="s">
        <v>217</v>
      </c>
      <c r="P10" s="224" t="s">
        <v>213</v>
      </c>
      <c r="Q10" s="222" t="s">
        <v>214</v>
      </c>
      <c r="R10" s="223" t="s">
        <v>218</v>
      </c>
      <c r="S10" s="223" t="s">
        <v>219</v>
      </c>
    </row>
    <row r="11" spans="2:19" ht="17.25" x14ac:dyDescent="0.25">
      <c r="B11" s="197" t="s">
        <v>143</v>
      </c>
      <c r="C11" s="197"/>
      <c r="D11" s="197"/>
      <c r="E11" s="198">
        <v>0.74</v>
      </c>
      <c r="F11" s="199">
        <f>H11/[1]Factores!C3</f>
        <v>193088.97932267623</v>
      </c>
      <c r="G11" s="200" t="s">
        <v>171</v>
      </c>
      <c r="H11" s="199">
        <f>I11/E11</f>
        <v>29219163.58126403</v>
      </c>
      <c r="I11" s="199">
        <f>P11</f>
        <v>21622181.050135382</v>
      </c>
      <c r="J11" s="201">
        <f>H11*('Factores 2'!$G$3+'Factores 2'!$H$3*'Factores 2'!$N$4+'Factores 2'!$I$3*'Factores 2'!$N$5)/1000</f>
        <v>2268.8388329215709</v>
      </c>
      <c r="K11" s="197" t="s">
        <v>146</v>
      </c>
      <c r="L11" s="198">
        <v>0.8</v>
      </c>
      <c r="M11" s="202">
        <v>750000</v>
      </c>
      <c r="N11" s="200" t="s">
        <v>174</v>
      </c>
      <c r="O11" s="199">
        <f>M11*'Factores 2'!$C$5</f>
        <v>27027726.312669225</v>
      </c>
      <c r="P11" s="199">
        <f>O11*L11</f>
        <v>21622181.050135382</v>
      </c>
      <c r="Q11" s="201">
        <f>O11*('Factores 2'!$G$5+'Factores 2'!$H$5*'Factores 2'!$N$4+'Factores 2'!$I$5*'Factores 2'!$N$5)/1000</f>
        <v>1518.4923512084119</v>
      </c>
      <c r="R11" s="203">
        <f t="shared" ref="R11:R12" si="5">H11-O11</f>
        <v>2191437.2685948052</v>
      </c>
      <c r="S11" s="201">
        <f>J11-Q11</f>
        <v>750.34648171315894</v>
      </c>
    </row>
    <row r="12" spans="2:19" ht="17.25" x14ac:dyDescent="0.25">
      <c r="B12" s="197" t="s">
        <v>232</v>
      </c>
      <c r="C12" s="197"/>
      <c r="D12" s="197"/>
      <c r="E12" s="198">
        <v>0.74</v>
      </c>
      <c r="F12" s="199">
        <f>H12/'Factores 2'!C6</f>
        <v>201836.98139606146</v>
      </c>
      <c r="G12" s="200" t="s">
        <v>171</v>
      </c>
      <c r="H12" s="199">
        <f>I12/E12</f>
        <v>26703393.596917193</v>
      </c>
      <c r="I12" s="199">
        <f>P12</f>
        <v>19760511.261718724</v>
      </c>
      <c r="J12" s="201">
        <f>H12*('Factores 2'!$G$6+'Factores 2'!$H$6*'Factores 2'!$N$4+'Factores 2'!$I$6*'Factores 2'!$N$5)/1000</f>
        <v>1980.9645505937053</v>
      </c>
      <c r="K12" s="197" t="s">
        <v>146</v>
      </c>
      <c r="L12" s="198">
        <v>0.8</v>
      </c>
      <c r="M12" s="202">
        <v>685425</v>
      </c>
      <c r="N12" s="200" t="s">
        <v>174</v>
      </c>
      <c r="O12" s="199">
        <f>M12*'Factores 2'!$C$5</f>
        <v>24700639.077148404</v>
      </c>
      <c r="P12" s="199">
        <f>O12*L12</f>
        <v>19760511.261718724</v>
      </c>
      <c r="Q12" s="201">
        <f>O12*('Factores 2'!$G$6+'Factores 2'!$H$6*'Factores 2'!$N$4+'Factores 2'!$I$6*'Factores 2'!$N$5)/1000</f>
        <v>1832.3922092991777</v>
      </c>
      <c r="R12" s="191">
        <f t="shared" si="5"/>
        <v>2002754.5197687894</v>
      </c>
      <c r="S12" s="201">
        <f t="shared" ref="S11:S12" si="6">J12-Q12</f>
        <v>148.57234129452763</v>
      </c>
    </row>
    <row r="13" spans="2:19" x14ac:dyDescent="0.25">
      <c r="E13" s="206"/>
      <c r="F13" s="207">
        <v>6</v>
      </c>
      <c r="G13" s="208"/>
      <c r="H13" s="207">
        <v>5</v>
      </c>
      <c r="I13" s="207">
        <v>4</v>
      </c>
      <c r="J13" s="207">
        <v>7</v>
      </c>
      <c r="L13" s="206"/>
      <c r="M13" s="207"/>
      <c r="N13" s="210"/>
      <c r="O13" s="207">
        <v>1</v>
      </c>
      <c r="P13" s="204">
        <v>2</v>
      </c>
      <c r="Q13" s="207">
        <v>3</v>
      </c>
      <c r="R13" s="204">
        <v>8</v>
      </c>
      <c r="S13" s="209">
        <v>9</v>
      </c>
    </row>
    <row r="15" spans="2:19" s="93" customFormat="1" x14ac:dyDescent="0.25"/>
    <row r="16" spans="2:19" hidden="1" x14ac:dyDescent="0.25"/>
    <row r="17" spans="2:21" hidden="1" x14ac:dyDescent="0.25"/>
    <row r="18" spans="2:21" ht="48" hidden="1" x14ac:dyDescent="0.25">
      <c r="B18" s="194" t="s">
        <v>94</v>
      </c>
      <c r="C18" s="194"/>
      <c r="D18" s="194"/>
      <c r="E18" s="194" t="s">
        <v>210</v>
      </c>
      <c r="F18" s="194" t="s">
        <v>211</v>
      </c>
      <c r="G18" s="194" t="s">
        <v>96</v>
      </c>
      <c r="H18" s="194" t="s">
        <v>212</v>
      </c>
      <c r="I18" s="194" t="s">
        <v>213</v>
      </c>
      <c r="J18" s="194" t="s">
        <v>214</v>
      </c>
      <c r="K18" s="195" t="s">
        <v>94</v>
      </c>
      <c r="L18" s="195" t="s">
        <v>215</v>
      </c>
      <c r="M18" s="195" t="s">
        <v>216</v>
      </c>
      <c r="N18" s="195" t="s">
        <v>96</v>
      </c>
      <c r="O18" s="195" t="s">
        <v>217</v>
      </c>
      <c r="P18" s="195" t="s">
        <v>213</v>
      </c>
      <c r="Q18" s="195" t="s">
        <v>214</v>
      </c>
      <c r="R18" s="196" t="s">
        <v>218</v>
      </c>
      <c r="S18" s="196" t="s">
        <v>219</v>
      </c>
    </row>
    <row r="19" spans="2:21" hidden="1" x14ac:dyDescent="0.25">
      <c r="B19" s="197" t="s">
        <v>143</v>
      </c>
      <c r="C19" s="197"/>
      <c r="D19" s="197"/>
      <c r="E19" s="198">
        <v>0.7</v>
      </c>
      <c r="F19" s="202">
        <v>50000</v>
      </c>
      <c r="G19" s="200" t="s">
        <v>171</v>
      </c>
      <c r="H19" s="199">
        <f>F19*[1]Factores!$C$3</f>
        <v>7566243.2117462</v>
      </c>
      <c r="I19" s="199">
        <f>H19*E19</f>
        <v>5296370.2482223399</v>
      </c>
      <c r="J19" s="201">
        <f>H19*([1]Factores!$G$3+[1]Factores!$H$3*[1]Factores!$N$4+[1]Factores!$I$3*[1]Factores!$N$5)/1000</f>
        <v>587.51121914888085</v>
      </c>
      <c r="K19" s="197" t="s">
        <v>143</v>
      </c>
      <c r="L19" s="198">
        <v>0.8</v>
      </c>
      <c r="M19" s="201">
        <f>E19*F19/L19</f>
        <v>43750</v>
      </c>
      <c r="N19" s="58" t="s">
        <v>171</v>
      </c>
      <c r="O19" s="199">
        <f>M19*[1]Factores!$C$3</f>
        <v>6620462.8102779249</v>
      </c>
      <c r="P19" s="199">
        <f>O19*L19</f>
        <v>5296370.2482223399</v>
      </c>
      <c r="Q19" s="203">
        <f>O19*([1]Factores!G3+[1]Factores!H3*[1]Factores!N4+[1]Factores!I3*[1]Factores!N5)/1000</f>
        <v>514.07231675527066</v>
      </c>
      <c r="R19" s="191">
        <f>H19-O19</f>
        <v>945780.40146827511</v>
      </c>
      <c r="S19" s="201">
        <f>J19-Q19</f>
        <v>73.438902393610192</v>
      </c>
    </row>
    <row r="20" spans="2:21" hidden="1" x14ac:dyDescent="0.25">
      <c r="B20" s="197" t="s">
        <v>145</v>
      </c>
      <c r="C20" s="197"/>
      <c r="D20" s="197"/>
      <c r="E20" s="198">
        <v>0.75</v>
      </c>
      <c r="F20" s="202">
        <v>52500</v>
      </c>
      <c r="G20" s="200" t="s">
        <v>171</v>
      </c>
      <c r="H20" s="199">
        <f>F20*([1]Factores!$C$4*0.95+[1]Factores!$C$6*0.05)</f>
        <v>7055698.4956093393</v>
      </c>
      <c r="I20" s="199">
        <f t="shared" ref="I20:I21" si="7">H20*E20</f>
        <v>5291773.8717070045</v>
      </c>
      <c r="J20" s="201">
        <f>(F20*0.95*[1]Factores!$C$4*([1]Factores!$G$4+[1]Factores!$H$4*[1]Factores!$N$4+[1]Factores!$I$4*[1]Factores!$N$5)+(F20*0.05*[1]Factores!$C$6*([1]Factores!$H$6*[1]Factores!$O$4+[1]Factores!$I$4*[1]Factores!$N$5)))/1000</f>
        <v>498.84769208752084</v>
      </c>
      <c r="K20" s="197" t="s">
        <v>145</v>
      </c>
      <c r="L20" s="198">
        <v>0.82499999999999996</v>
      </c>
      <c r="M20" s="201">
        <f t="shared" ref="M20:M21" si="8">E20*F20/L20</f>
        <v>47727.272727272728</v>
      </c>
      <c r="N20" s="58" t="s">
        <v>171</v>
      </c>
      <c r="O20" s="199">
        <f>M20*([1]Factores!$C$4*0.95+[1]Factores!$C$6*0.05)</f>
        <v>6414271.3596448535</v>
      </c>
      <c r="P20" s="199">
        <f t="shared" ref="P20:P21" si="9">O20*L20</f>
        <v>5291773.8717070036</v>
      </c>
      <c r="Q20" s="201">
        <f>(M20*0.95*[1]Factores!$C$4*([1]Factores!$G$4+[1]Factores!$H$4*[1]Factores!$N$4+[1]Factores!$I$4*[1]Factores!$N$5)+(M20*0.05*[1]Factores!$C$6*([1]Factores!$H$6*[1]Factores!$O$4+[1]Factores!$I$4*[1]Factores!$N$5)))/1000</f>
        <v>453.4979018977462</v>
      </c>
      <c r="R20" s="191">
        <f t="shared" ref="R20:R21" si="10">H20-O20</f>
        <v>641427.13596448582</v>
      </c>
      <c r="S20" s="201">
        <f t="shared" ref="S20:S21" si="11">J20-Q20</f>
        <v>45.349790189774637</v>
      </c>
      <c r="U20" s="211"/>
    </row>
    <row r="21" spans="2:21" ht="17.25" hidden="1" x14ac:dyDescent="0.25">
      <c r="B21" s="197" t="s">
        <v>220</v>
      </c>
      <c r="C21" s="197"/>
      <c r="D21" s="197"/>
      <c r="E21" s="198">
        <v>0.8</v>
      </c>
      <c r="F21" s="202">
        <v>183500</v>
      </c>
      <c r="G21" s="200" t="s">
        <v>174</v>
      </c>
      <c r="H21" s="199">
        <f>F21*[1]Factores!$C$5</f>
        <v>6612783.7044997374</v>
      </c>
      <c r="I21" s="199">
        <f t="shared" si="7"/>
        <v>5290226.9635997899</v>
      </c>
      <c r="J21" s="201">
        <f>H21*([1]Factores!$G$5+[1]Factores!$H$5*[1]Factores!$N$4+[1]Factores!$I$5*[1]Factores!$N$5)/1000</f>
        <v>371.52446192899123</v>
      </c>
      <c r="K21" s="197" t="s">
        <v>220</v>
      </c>
      <c r="L21" s="198">
        <v>0.85</v>
      </c>
      <c r="M21" s="201">
        <f t="shared" si="8"/>
        <v>172705.88235294117</v>
      </c>
      <c r="N21" s="58" t="s">
        <v>174</v>
      </c>
      <c r="O21" s="199">
        <f>M21*[1]Factores!$C$5</f>
        <v>6223796.4277644586</v>
      </c>
      <c r="P21" s="199">
        <f t="shared" si="9"/>
        <v>5290226.9635997899</v>
      </c>
      <c r="Q21" s="201">
        <f>O21*([1]Factores!$G$5+[1]Factores!$H$5*[1]Factores!$N$4+[1]Factores!$I$5*[1]Factores!$N$5)/1000</f>
        <v>349.6700818155212</v>
      </c>
      <c r="R21" s="191">
        <f t="shared" si="10"/>
        <v>388987.27673527878</v>
      </c>
      <c r="S21" s="201">
        <f t="shared" si="11"/>
        <v>21.854380113470029</v>
      </c>
      <c r="U21" s="211"/>
    </row>
    <row r="22" spans="2:21" hidden="1" x14ac:dyDescent="0.25">
      <c r="H22" s="204"/>
      <c r="I22" s="204"/>
      <c r="O22" s="204"/>
      <c r="P22" s="204"/>
      <c r="U22" s="211"/>
    </row>
    <row r="23" spans="2:21" hidden="1" x14ac:dyDescent="0.25">
      <c r="H23" s="204"/>
      <c r="I23" s="204"/>
      <c r="O23" s="204"/>
      <c r="P23" s="204"/>
    </row>
    <row r="24" spans="2:21" ht="48" hidden="1" x14ac:dyDescent="0.25">
      <c r="B24" s="194" t="s">
        <v>94</v>
      </c>
      <c r="C24" s="194"/>
      <c r="D24" s="194"/>
      <c r="E24" s="194" t="s">
        <v>210</v>
      </c>
      <c r="F24" s="194" t="s">
        <v>211</v>
      </c>
      <c r="G24" s="194" t="s">
        <v>96</v>
      </c>
      <c r="H24" s="194" t="s">
        <v>212</v>
      </c>
      <c r="I24" s="194" t="s">
        <v>213</v>
      </c>
      <c r="J24" s="194" t="s">
        <v>214</v>
      </c>
      <c r="K24" s="195" t="s">
        <v>94</v>
      </c>
      <c r="L24" s="195" t="s">
        <v>215</v>
      </c>
      <c r="M24" s="195" t="s">
        <v>216</v>
      </c>
      <c r="N24" s="195" t="s">
        <v>96</v>
      </c>
      <c r="O24" s="205" t="s">
        <v>217</v>
      </c>
      <c r="P24" s="205" t="s">
        <v>213</v>
      </c>
      <c r="Q24" s="195" t="s">
        <v>214</v>
      </c>
      <c r="R24" s="196" t="s">
        <v>218</v>
      </c>
      <c r="S24" s="196" t="s">
        <v>219</v>
      </c>
    </row>
    <row r="25" spans="2:21" ht="17.25" hidden="1" x14ac:dyDescent="0.25">
      <c r="B25" s="197" t="s">
        <v>143</v>
      </c>
      <c r="C25" s="197"/>
      <c r="D25" s="197"/>
      <c r="E25" s="198">
        <v>0.7</v>
      </c>
      <c r="F25" s="202">
        <v>50000</v>
      </c>
      <c r="G25" s="200" t="s">
        <v>171</v>
      </c>
      <c r="H25" s="199">
        <f>F25*[1]Factores!$C$3</f>
        <v>7566243.2117462</v>
      </c>
      <c r="I25" s="199">
        <f>H25*E25</f>
        <v>5296370.2482223399</v>
      </c>
      <c r="J25" s="201">
        <f>H25*([1]Factores!$G$3+[1]Factores!$H$3*[1]Factores!$N$4+[1]Factores!$I$3*[1]Factores!$N$5)/1000</f>
        <v>587.51121914888085</v>
      </c>
      <c r="K25" s="197" t="s">
        <v>146</v>
      </c>
      <c r="L25" s="198">
        <v>0.85</v>
      </c>
      <c r="M25" s="201">
        <f>O25/[1]Factores!C5</f>
        <v>172906.43733831006</v>
      </c>
      <c r="N25" s="58" t="s">
        <v>174</v>
      </c>
      <c r="O25" s="199">
        <f>P25/L25</f>
        <v>6231023.8214380471</v>
      </c>
      <c r="P25" s="199">
        <f>I25</f>
        <v>5296370.2482223399</v>
      </c>
      <c r="Q25" s="201">
        <f>O25*([1]Factores!$G$5+[1]Factores!$H$5*[1]Factores!$N$4+[1]Factores!$I$5*[1]Factores!$N$5)/1000</f>
        <v>350.07613676389366</v>
      </c>
      <c r="R25" s="191">
        <f t="shared" ref="R25:R26" si="12">H25-O25</f>
        <v>1335219.3903081529</v>
      </c>
      <c r="S25" s="201">
        <f t="shared" ref="S25:S26" si="13">J25-Q25</f>
        <v>237.4350823849872</v>
      </c>
    </row>
    <row r="26" spans="2:21" ht="17.25" hidden="1" x14ac:dyDescent="0.25">
      <c r="B26" s="197" t="s">
        <v>145</v>
      </c>
      <c r="C26" s="197"/>
      <c r="D26" s="197"/>
      <c r="E26" s="198">
        <v>0.75</v>
      </c>
      <c r="F26" s="202">
        <v>52500</v>
      </c>
      <c r="G26" s="200" t="s">
        <v>171</v>
      </c>
      <c r="H26" s="199">
        <f>F26*([1]Factores!$C$4*0.95+[1]Factores!$C$6*0.05)</f>
        <v>7055698.4956093393</v>
      </c>
      <c r="I26" s="199">
        <f>H26*E26</f>
        <v>5291773.8717070045</v>
      </c>
      <c r="J26" s="201">
        <f>(F26*0.95*[1]Factores!$C$4*([1]Factores!$G$4+[1]Factores!$H$4*[1]Factores!$N$4+[1]Factores!$I$4*[1]Factores!$N$5)+(F26*0.05*[1]Factores!$C$6*([1]Factores!$H$6*[1]Factores!$O$4+[1]Factores!$I$4*[1]Factores!$N$5)))/1000</f>
        <v>498.84769208752084</v>
      </c>
      <c r="K26" s="197" t="s">
        <v>146</v>
      </c>
      <c r="L26" s="198">
        <v>0.85</v>
      </c>
      <c r="M26" s="201">
        <f>O26/[1]Factores!C5</f>
        <v>172756.38304627885</v>
      </c>
      <c r="N26" s="58" t="s">
        <v>174</v>
      </c>
      <c r="O26" s="199">
        <f>P26/L26</f>
        <v>6225616.3196552992</v>
      </c>
      <c r="P26" s="191">
        <f>I26</f>
        <v>5291773.8717070045</v>
      </c>
      <c r="Q26" s="201">
        <f>O26*([1]Factores!$G$5+[1]Factores!$H$5*[1]Factores!$N$4+[1]Factores!$I$5*[1]Factores!$N$5)/1000</f>
        <v>349.77232837093982</v>
      </c>
      <c r="R26" s="191">
        <f t="shared" si="12"/>
        <v>830082.17595404014</v>
      </c>
      <c r="S26" s="201">
        <f t="shared" si="13"/>
        <v>149.07536371658102</v>
      </c>
    </row>
    <row r="27" spans="2:21" x14ac:dyDescent="0.25">
      <c r="O27" s="193"/>
    </row>
  </sheetData>
  <mergeCells count="4">
    <mergeCell ref="B2:J2"/>
    <mergeCell ref="K2:S2"/>
    <mergeCell ref="B9:J9"/>
    <mergeCell ref="K9:S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6AC05C2-7A77-4198-BC1E-ECC3332CEAA7}">
          <x14:formula1>
            <xm:f>'Factores 2'!$B$3:$B$6</xm:f>
          </x14:formula1>
          <xm:sqref>K11:K12 K4:K6 B11:D12 B4:B6 D4:D6</xm:sqref>
        </x14:dataValidation>
        <x14:dataValidation type="list" allowBlank="1" showInputMessage="1" showErrorMessage="1" xr:uid="{31DC42DD-659A-4EE3-B7AB-0A2B92205554}">
          <x14:formula1>
            <xm:f>'Factores 2'!$P$3:$P$7</xm:f>
          </x14:formula1>
          <xm:sqref>C4:C6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30A13-0155-431B-8996-AF25F23F265B}">
  <dimension ref="B1:P32"/>
  <sheetViews>
    <sheetView workbookViewId="0">
      <selection activeCell="N5" sqref="N5"/>
    </sheetView>
  </sheetViews>
  <sheetFormatPr baseColWidth="10" defaultColWidth="11.5703125" defaultRowHeight="15" x14ac:dyDescent="0.25"/>
  <cols>
    <col min="1" max="1" width="1.5703125" style="212" customWidth="1"/>
    <col min="2" max="2" width="14.85546875" style="212" customWidth="1"/>
    <col min="3" max="4" width="11.5703125" style="212"/>
    <col min="5" max="5" width="10.7109375" style="212" customWidth="1"/>
    <col min="6" max="6" width="11.5703125" style="212"/>
    <col min="7" max="9" width="13.85546875" style="212" bestFit="1" customWidth="1"/>
    <col min="10" max="10" width="2.5703125" style="212" customWidth="1"/>
    <col min="11" max="11" width="10" style="212" customWidth="1"/>
    <col min="12" max="14" width="7.7109375" style="212" customWidth="1"/>
    <col min="15" max="16384" width="11.5703125" style="212"/>
  </cols>
  <sheetData>
    <row r="1" spans="2:16" ht="9" customHeight="1" x14ac:dyDescent="0.25"/>
    <row r="2" spans="2:16" ht="38.25" x14ac:dyDescent="0.25">
      <c r="B2" s="213" t="s">
        <v>221</v>
      </c>
      <c r="C2" s="214" t="s">
        <v>142</v>
      </c>
      <c r="D2" s="214" t="s">
        <v>222</v>
      </c>
      <c r="F2" s="215" t="s">
        <v>223</v>
      </c>
      <c r="G2" s="115" t="s">
        <v>224</v>
      </c>
      <c r="H2" s="115" t="s">
        <v>225</v>
      </c>
      <c r="I2" s="115" t="s">
        <v>226</v>
      </c>
      <c r="K2" s="116" t="s">
        <v>155</v>
      </c>
      <c r="L2" s="116" t="s">
        <v>156</v>
      </c>
      <c r="M2" s="116" t="s">
        <v>157</v>
      </c>
      <c r="N2" s="116" t="s">
        <v>158</v>
      </c>
      <c r="P2" s="213" t="s">
        <v>234</v>
      </c>
    </row>
    <row r="3" spans="2:16" x14ac:dyDescent="0.25">
      <c r="B3" s="114" t="s">
        <v>143</v>
      </c>
      <c r="C3" s="201">
        <v>151.32486423492401</v>
      </c>
      <c r="D3" s="30" t="s">
        <v>227</v>
      </c>
      <c r="F3" s="114" t="s">
        <v>143</v>
      </c>
      <c r="G3" s="230">
        <v>7.7399999999999997E-2</v>
      </c>
      <c r="H3" s="216">
        <v>3.0000000000000001E-6</v>
      </c>
      <c r="I3" s="216">
        <v>5.9999999999999997E-7</v>
      </c>
      <c r="K3" s="117" t="s">
        <v>228</v>
      </c>
      <c r="L3" s="217">
        <v>1</v>
      </c>
      <c r="M3" s="217">
        <v>1</v>
      </c>
      <c r="N3" s="217">
        <v>1</v>
      </c>
      <c r="P3" s="30">
        <v>100</v>
      </c>
    </row>
    <row r="4" spans="2:16" x14ac:dyDescent="0.25">
      <c r="B4" s="114" t="s">
        <v>145</v>
      </c>
      <c r="C4" s="201">
        <v>134.504386990494</v>
      </c>
      <c r="D4" s="30" t="s">
        <v>227</v>
      </c>
      <c r="F4" s="114" t="s">
        <v>145</v>
      </c>
      <c r="G4" s="231">
        <v>7.4099999999999999E-2</v>
      </c>
      <c r="H4" s="218">
        <v>3.0000000000000001E-6</v>
      </c>
      <c r="I4" s="218">
        <v>5.9999999999999997E-7</v>
      </c>
      <c r="K4" s="117" t="s">
        <v>229</v>
      </c>
      <c r="L4" s="217">
        <v>21</v>
      </c>
      <c r="M4" s="217">
        <v>25</v>
      </c>
      <c r="N4" s="217">
        <v>30</v>
      </c>
      <c r="O4" s="219">
        <v>28</v>
      </c>
      <c r="P4" s="30">
        <v>250</v>
      </c>
    </row>
    <row r="5" spans="2:16" x14ac:dyDescent="0.25">
      <c r="B5" s="114" t="s">
        <v>146</v>
      </c>
      <c r="C5" s="201">
        <v>36.0369684168923</v>
      </c>
      <c r="D5" s="30" t="s">
        <v>230</v>
      </c>
      <c r="F5" s="114" t="s">
        <v>146</v>
      </c>
      <c r="G5" s="232">
        <v>5.61262633461206E-2</v>
      </c>
      <c r="H5" s="216">
        <v>9.9999999999999995E-7</v>
      </c>
      <c r="I5" s="216">
        <v>9.9999999999999995E-8</v>
      </c>
      <c r="K5" s="117" t="s">
        <v>231</v>
      </c>
      <c r="L5" s="217">
        <v>310</v>
      </c>
      <c r="M5" s="217">
        <v>298</v>
      </c>
      <c r="N5" s="217">
        <v>265</v>
      </c>
      <c r="P5" s="30">
        <v>500</v>
      </c>
    </row>
    <row r="6" spans="2:16" x14ac:dyDescent="0.25">
      <c r="B6" s="114" t="s">
        <v>232</v>
      </c>
      <c r="C6" s="201">
        <v>132.301788365124</v>
      </c>
      <c r="D6" s="30" t="s">
        <v>227</v>
      </c>
      <c r="F6" s="114" t="s">
        <v>233</v>
      </c>
      <c r="G6" s="233">
        <v>7.3935000000000001E-2</v>
      </c>
      <c r="H6" s="220">
        <v>3.0000000000000001E-6</v>
      </c>
      <c r="I6" s="220">
        <v>5.9999999999999997E-7</v>
      </c>
      <c r="P6" s="30">
        <v>800</v>
      </c>
    </row>
    <row r="7" spans="2:16" x14ac:dyDescent="0.25">
      <c r="P7" s="30">
        <v>1200</v>
      </c>
    </row>
    <row r="9" spans="2:16" ht="30" x14ac:dyDescent="0.25">
      <c r="B9" s="213" t="s">
        <v>221</v>
      </c>
      <c r="C9" s="213" t="s">
        <v>234</v>
      </c>
      <c r="D9" s="213" t="s">
        <v>70</v>
      </c>
      <c r="E9" s="213" t="s">
        <v>73</v>
      </c>
      <c r="F9" s="226" t="s">
        <v>70</v>
      </c>
      <c r="G9" s="226" t="s">
        <v>73</v>
      </c>
      <c r="H9" s="213" t="s">
        <v>70</v>
      </c>
      <c r="I9" s="213" t="s">
        <v>73</v>
      </c>
    </row>
    <row r="10" spans="2:16" x14ac:dyDescent="0.25">
      <c r="B10" s="114" t="s">
        <v>143</v>
      </c>
      <c r="C10" s="30">
        <v>100</v>
      </c>
      <c r="D10" s="30" t="s">
        <v>76</v>
      </c>
      <c r="E10" s="58">
        <v>0.8</v>
      </c>
      <c r="F10" s="227" t="s">
        <v>68</v>
      </c>
      <c r="G10" s="228">
        <v>0.74</v>
      </c>
      <c r="H10" s="30" t="s">
        <v>77</v>
      </c>
      <c r="I10" s="58">
        <v>0.7</v>
      </c>
    </row>
    <row r="11" spans="2:16" x14ac:dyDescent="0.25">
      <c r="B11" s="114" t="s">
        <v>146</v>
      </c>
      <c r="C11" s="30">
        <v>100</v>
      </c>
      <c r="D11" s="30" t="s">
        <v>76</v>
      </c>
      <c r="E11" s="58">
        <v>0.8</v>
      </c>
      <c r="F11" s="227" t="s">
        <v>68</v>
      </c>
      <c r="G11" s="228">
        <v>0.74</v>
      </c>
      <c r="H11" s="30" t="s">
        <v>77</v>
      </c>
      <c r="I11" s="58">
        <v>0.7</v>
      </c>
    </row>
    <row r="12" spans="2:16" x14ac:dyDescent="0.25">
      <c r="B12" s="114" t="s">
        <v>232</v>
      </c>
      <c r="C12" s="30">
        <v>100</v>
      </c>
      <c r="D12" s="30" t="s">
        <v>76</v>
      </c>
      <c r="E12" s="58">
        <v>0.8</v>
      </c>
      <c r="F12" s="227" t="s">
        <v>68</v>
      </c>
      <c r="G12" s="228">
        <v>0.74</v>
      </c>
      <c r="H12" s="30" t="s">
        <v>77</v>
      </c>
      <c r="I12" s="58">
        <v>0.7</v>
      </c>
    </row>
    <row r="14" spans="2:16" ht="30" x14ac:dyDescent="0.25">
      <c r="B14" s="213" t="s">
        <v>221</v>
      </c>
      <c r="C14" s="213" t="s">
        <v>234</v>
      </c>
      <c r="D14" s="213" t="s">
        <v>70</v>
      </c>
      <c r="E14" s="213" t="s">
        <v>73</v>
      </c>
      <c r="F14" s="226" t="s">
        <v>70</v>
      </c>
      <c r="G14" s="226" t="s">
        <v>73</v>
      </c>
      <c r="H14" s="213" t="s">
        <v>70</v>
      </c>
      <c r="I14" s="213" t="s">
        <v>73</v>
      </c>
    </row>
    <row r="15" spans="2:16" x14ac:dyDescent="0.25">
      <c r="B15" s="114" t="s">
        <v>143</v>
      </c>
      <c r="C15" s="30">
        <v>250</v>
      </c>
      <c r="D15" s="30" t="s">
        <v>76</v>
      </c>
      <c r="E15" s="58">
        <v>0.8</v>
      </c>
      <c r="F15" s="227" t="s">
        <v>68</v>
      </c>
      <c r="G15" s="228">
        <v>0.74</v>
      </c>
      <c r="H15" s="30" t="s">
        <v>77</v>
      </c>
      <c r="I15" s="58">
        <v>0.7</v>
      </c>
    </row>
    <row r="16" spans="2:16" x14ac:dyDescent="0.25">
      <c r="B16" s="114" t="s">
        <v>146</v>
      </c>
      <c r="C16" s="30">
        <v>250</v>
      </c>
      <c r="D16" s="30" t="s">
        <v>76</v>
      </c>
      <c r="E16" s="58">
        <v>0.8</v>
      </c>
      <c r="F16" s="227" t="s">
        <v>68</v>
      </c>
      <c r="G16" s="228">
        <v>0.74</v>
      </c>
      <c r="H16" s="30" t="s">
        <v>77</v>
      </c>
      <c r="I16" s="58">
        <v>0.7</v>
      </c>
    </row>
    <row r="17" spans="2:9" x14ac:dyDescent="0.25">
      <c r="B17" s="114" t="s">
        <v>232</v>
      </c>
      <c r="C17" s="30">
        <v>250</v>
      </c>
      <c r="D17" s="30" t="s">
        <v>76</v>
      </c>
      <c r="E17" s="58">
        <v>0.8</v>
      </c>
      <c r="F17" s="227" t="s">
        <v>68</v>
      </c>
      <c r="G17" s="228">
        <v>0.74</v>
      </c>
      <c r="H17" s="30" t="s">
        <v>77</v>
      </c>
      <c r="I17" s="58">
        <v>0.7</v>
      </c>
    </row>
    <row r="19" spans="2:9" ht="30" x14ac:dyDescent="0.25">
      <c r="B19" s="213" t="s">
        <v>221</v>
      </c>
      <c r="C19" s="213" t="s">
        <v>234</v>
      </c>
      <c r="D19" s="213" t="s">
        <v>70</v>
      </c>
      <c r="E19" s="213" t="s">
        <v>73</v>
      </c>
      <c r="F19" s="226" t="s">
        <v>70</v>
      </c>
      <c r="G19" s="226" t="s">
        <v>73</v>
      </c>
      <c r="H19" s="213" t="s">
        <v>70</v>
      </c>
      <c r="I19" s="213" t="s">
        <v>73</v>
      </c>
    </row>
    <row r="20" spans="2:9" x14ac:dyDescent="0.25">
      <c r="B20" s="114" t="s">
        <v>143</v>
      </c>
      <c r="C20" s="30">
        <v>500</v>
      </c>
      <c r="D20" s="30" t="s">
        <v>76</v>
      </c>
      <c r="E20" s="58">
        <v>0.8</v>
      </c>
      <c r="F20" s="227" t="s">
        <v>68</v>
      </c>
      <c r="G20" s="228">
        <v>0.74</v>
      </c>
      <c r="H20" s="30" t="s">
        <v>77</v>
      </c>
      <c r="I20" s="58">
        <v>0.7</v>
      </c>
    </row>
    <row r="21" spans="2:9" x14ac:dyDescent="0.25">
      <c r="B21" s="114" t="s">
        <v>146</v>
      </c>
      <c r="C21" s="30">
        <v>500</v>
      </c>
      <c r="D21" s="30" t="s">
        <v>76</v>
      </c>
      <c r="E21" s="58">
        <v>0.8</v>
      </c>
      <c r="F21" s="227" t="s">
        <v>68</v>
      </c>
      <c r="G21" s="228">
        <v>0.74</v>
      </c>
      <c r="H21" s="30" t="s">
        <v>77</v>
      </c>
      <c r="I21" s="58">
        <v>0.7</v>
      </c>
    </row>
    <row r="22" spans="2:9" x14ac:dyDescent="0.25">
      <c r="B22" s="114" t="s">
        <v>232</v>
      </c>
      <c r="C22" s="30">
        <v>500</v>
      </c>
      <c r="D22" s="30" t="s">
        <v>76</v>
      </c>
      <c r="E22" s="58">
        <v>0.8</v>
      </c>
      <c r="F22" s="227" t="s">
        <v>68</v>
      </c>
      <c r="G22" s="228">
        <v>0.74</v>
      </c>
      <c r="H22" s="30" t="s">
        <v>77</v>
      </c>
      <c r="I22" s="58">
        <v>0.7</v>
      </c>
    </row>
    <row r="24" spans="2:9" ht="30" x14ac:dyDescent="0.25">
      <c r="B24" s="213" t="s">
        <v>221</v>
      </c>
      <c r="C24" s="213" t="s">
        <v>234</v>
      </c>
      <c r="D24" s="213" t="s">
        <v>70</v>
      </c>
      <c r="E24" s="213" t="s">
        <v>73</v>
      </c>
      <c r="F24" s="226" t="s">
        <v>70</v>
      </c>
      <c r="G24" s="226" t="s">
        <v>73</v>
      </c>
      <c r="H24" s="213" t="s">
        <v>70</v>
      </c>
      <c r="I24" s="213" t="s">
        <v>73</v>
      </c>
    </row>
    <row r="25" spans="2:9" x14ac:dyDescent="0.25">
      <c r="B25" s="114" t="s">
        <v>143</v>
      </c>
      <c r="C25" s="30">
        <v>800</v>
      </c>
      <c r="D25" s="30" t="s">
        <v>76</v>
      </c>
      <c r="E25" s="58">
        <v>0.8</v>
      </c>
      <c r="F25" s="227" t="s">
        <v>68</v>
      </c>
      <c r="G25" s="228">
        <v>0.74</v>
      </c>
      <c r="H25" s="30" t="s">
        <v>77</v>
      </c>
      <c r="I25" s="58">
        <v>0.7</v>
      </c>
    </row>
    <row r="26" spans="2:9" x14ac:dyDescent="0.25">
      <c r="B26" s="114" t="s">
        <v>146</v>
      </c>
      <c r="C26" s="30">
        <v>800</v>
      </c>
      <c r="D26" s="30" t="s">
        <v>76</v>
      </c>
      <c r="E26" s="58">
        <v>0.8</v>
      </c>
      <c r="F26" s="227" t="s">
        <v>68</v>
      </c>
      <c r="G26" s="228">
        <v>0.74</v>
      </c>
      <c r="H26" s="30" t="s">
        <v>77</v>
      </c>
      <c r="I26" s="58">
        <v>0.7</v>
      </c>
    </row>
    <row r="27" spans="2:9" x14ac:dyDescent="0.25">
      <c r="B27" s="114" t="s">
        <v>232</v>
      </c>
      <c r="C27" s="30">
        <v>800</v>
      </c>
      <c r="D27" s="30" t="s">
        <v>76</v>
      </c>
      <c r="E27" s="58">
        <v>0.8</v>
      </c>
      <c r="F27" s="227" t="s">
        <v>68</v>
      </c>
      <c r="G27" s="228">
        <v>0.74</v>
      </c>
      <c r="H27" s="30" t="s">
        <v>77</v>
      </c>
      <c r="I27" s="58">
        <v>0.7</v>
      </c>
    </row>
    <row r="29" spans="2:9" ht="30" x14ac:dyDescent="0.25">
      <c r="B29" s="213" t="s">
        <v>221</v>
      </c>
      <c r="C29" s="213" t="s">
        <v>234</v>
      </c>
      <c r="D29" s="213" t="s">
        <v>70</v>
      </c>
      <c r="E29" s="213" t="s">
        <v>73</v>
      </c>
      <c r="F29" s="226" t="s">
        <v>70</v>
      </c>
      <c r="G29" s="226" t="s">
        <v>73</v>
      </c>
      <c r="H29" s="213" t="s">
        <v>70</v>
      </c>
      <c r="I29" s="213" t="s">
        <v>73</v>
      </c>
    </row>
    <row r="30" spans="2:9" x14ac:dyDescent="0.25">
      <c r="B30" s="114" t="s">
        <v>143</v>
      </c>
      <c r="C30" s="30">
        <v>1200</v>
      </c>
      <c r="D30" s="30" t="s">
        <v>76</v>
      </c>
      <c r="E30" s="58">
        <v>0.8</v>
      </c>
      <c r="F30" s="227" t="s">
        <v>68</v>
      </c>
      <c r="G30" s="228">
        <v>0.74</v>
      </c>
      <c r="H30" s="30" t="s">
        <v>77</v>
      </c>
      <c r="I30" s="58">
        <v>0.7</v>
      </c>
    </row>
    <row r="31" spans="2:9" x14ac:dyDescent="0.25">
      <c r="B31" s="114" t="s">
        <v>146</v>
      </c>
      <c r="C31" s="30">
        <v>1200</v>
      </c>
      <c r="D31" s="30" t="s">
        <v>76</v>
      </c>
      <c r="E31" s="58">
        <v>0.8</v>
      </c>
      <c r="F31" s="227" t="s">
        <v>68</v>
      </c>
      <c r="G31" s="228">
        <v>0.74</v>
      </c>
      <c r="H31" s="30" t="s">
        <v>77</v>
      </c>
      <c r="I31" s="58">
        <v>0.7</v>
      </c>
    </row>
    <row r="32" spans="2:9" x14ac:dyDescent="0.25">
      <c r="B32" s="114" t="s">
        <v>232</v>
      </c>
      <c r="C32" s="30">
        <v>1200</v>
      </c>
      <c r="D32" s="30" t="s">
        <v>76</v>
      </c>
      <c r="E32" s="58">
        <v>0.8</v>
      </c>
      <c r="F32" s="227" t="s">
        <v>68</v>
      </c>
      <c r="G32" s="228">
        <v>0.74</v>
      </c>
      <c r="H32" s="30" t="s">
        <v>77</v>
      </c>
      <c r="I32" s="58">
        <v>0.7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R62"/>
  <sheetViews>
    <sheetView workbookViewId="0">
      <selection activeCell="A46" sqref="A46:XFD62"/>
    </sheetView>
  </sheetViews>
  <sheetFormatPr baseColWidth="10" defaultColWidth="11.42578125" defaultRowHeight="15" x14ac:dyDescent="0.25"/>
  <cols>
    <col min="1" max="1" width="2.85546875" style="1" customWidth="1"/>
    <col min="2" max="3" width="11.42578125" style="1"/>
    <col min="4" max="4" width="14.28515625" style="1" bestFit="1" customWidth="1"/>
    <col min="5" max="5" width="17" style="1" customWidth="1"/>
    <col min="6" max="6" width="16.28515625" style="1" customWidth="1"/>
    <col min="7" max="7" width="16.42578125" style="1" customWidth="1"/>
    <col min="8" max="8" width="17.28515625" style="1" customWidth="1"/>
    <col min="9" max="9" width="13.140625" style="1" customWidth="1"/>
    <col min="10" max="10" width="11.42578125" style="1"/>
    <col min="11" max="11" width="12.5703125" style="1" customWidth="1"/>
    <col min="12" max="12" width="12.42578125" style="1" customWidth="1"/>
    <col min="13" max="13" width="13.85546875" style="1" customWidth="1"/>
    <col min="14" max="14" width="13.28515625" style="1" customWidth="1"/>
    <col min="15" max="16" width="13.5703125" style="1" customWidth="1"/>
    <col min="17" max="17" width="13.7109375" style="1" customWidth="1"/>
    <col min="18" max="18" width="16.28515625" style="1" customWidth="1"/>
    <col min="19" max="16384" width="11.42578125" style="1"/>
  </cols>
  <sheetData>
    <row r="1" spans="2:9" ht="23.25" customHeight="1" thickBot="1" x14ac:dyDescent="0.3">
      <c r="B1" s="10" t="s">
        <v>8</v>
      </c>
    </row>
    <row r="2" spans="2:9" ht="30.75" thickBot="1" x14ac:dyDescent="0.3">
      <c r="B2" s="68" t="s">
        <v>70</v>
      </c>
      <c r="C2" s="25" t="s">
        <v>71</v>
      </c>
      <c r="D2" s="25" t="s">
        <v>72</v>
      </c>
      <c r="E2" s="25" t="s">
        <v>73</v>
      </c>
      <c r="F2" s="25" t="s">
        <v>74</v>
      </c>
      <c r="G2" s="25" t="s">
        <v>75</v>
      </c>
    </row>
    <row r="3" spans="2:9" x14ac:dyDescent="0.25">
      <c r="B3" s="66" t="s">
        <v>76</v>
      </c>
      <c r="C3" s="27">
        <v>1</v>
      </c>
      <c r="D3" s="27">
        <v>0.746</v>
      </c>
      <c r="E3" s="28">
        <v>0.85499999999999998</v>
      </c>
      <c r="F3" s="29">
        <v>8</v>
      </c>
      <c r="G3" s="147">
        <v>2547.7426900584796</v>
      </c>
      <c r="H3" s="100"/>
      <c r="I3" s="99"/>
    </row>
    <row r="4" spans="2:9" x14ac:dyDescent="0.25">
      <c r="B4" s="59" t="s">
        <v>68</v>
      </c>
      <c r="C4" s="30">
        <v>1</v>
      </c>
      <c r="D4" s="30">
        <v>0.746</v>
      </c>
      <c r="E4" s="31">
        <v>0.82499999999999996</v>
      </c>
      <c r="F4" s="32">
        <v>8</v>
      </c>
      <c r="G4" s="148">
        <v>2640.3878787878789</v>
      </c>
      <c r="I4" s="99"/>
    </row>
    <row r="5" spans="2:9" ht="15.75" thickBot="1" x14ac:dyDescent="0.3">
      <c r="B5" s="62" t="s">
        <v>77</v>
      </c>
      <c r="C5" s="34">
        <v>1</v>
      </c>
      <c r="D5" s="34">
        <v>0.746</v>
      </c>
      <c r="E5" s="35">
        <v>0.78</v>
      </c>
      <c r="F5" s="36">
        <v>8</v>
      </c>
      <c r="G5" s="158">
        <v>2792.7179487179487</v>
      </c>
      <c r="I5" s="99"/>
    </row>
    <row r="6" spans="2:9" x14ac:dyDescent="0.25">
      <c r="B6" s="66" t="s">
        <v>76</v>
      </c>
      <c r="C6" s="27">
        <v>2</v>
      </c>
      <c r="D6" s="27">
        <v>1.492</v>
      </c>
      <c r="E6" s="28">
        <v>0.86499999999999999</v>
      </c>
      <c r="F6" s="29">
        <v>8</v>
      </c>
      <c r="G6" s="147">
        <v>5036.5780346820811</v>
      </c>
      <c r="I6" s="99"/>
    </row>
    <row r="7" spans="2:9" x14ac:dyDescent="0.25">
      <c r="B7" s="59" t="s">
        <v>68</v>
      </c>
      <c r="C7" s="30">
        <v>2</v>
      </c>
      <c r="D7" s="30">
        <v>1.492</v>
      </c>
      <c r="E7" s="31">
        <v>0.84</v>
      </c>
      <c r="F7" s="32">
        <v>8</v>
      </c>
      <c r="G7" s="148">
        <v>5186.4761904761908</v>
      </c>
      <c r="I7" s="99"/>
    </row>
    <row r="8" spans="2:9" ht="15.75" thickBot="1" x14ac:dyDescent="0.3">
      <c r="B8" s="60" t="s">
        <v>77</v>
      </c>
      <c r="C8" s="38">
        <v>2</v>
      </c>
      <c r="D8" s="38">
        <v>1.492</v>
      </c>
      <c r="E8" s="39">
        <v>0.81499999999999995</v>
      </c>
      <c r="F8" s="40">
        <v>8</v>
      </c>
      <c r="G8" s="149">
        <v>5345.5705521472391</v>
      </c>
      <c r="I8" s="99"/>
    </row>
    <row r="9" spans="2:9" x14ac:dyDescent="0.25">
      <c r="B9" s="64" t="s">
        <v>76</v>
      </c>
      <c r="C9" s="41">
        <v>5</v>
      </c>
      <c r="D9" s="41">
        <v>3.73</v>
      </c>
      <c r="E9" s="42">
        <v>0.89500000000000002</v>
      </c>
      <c r="F9" s="43">
        <v>8</v>
      </c>
      <c r="G9" s="150">
        <v>12169.385474860333</v>
      </c>
      <c r="I9" s="99"/>
    </row>
    <row r="10" spans="2:9" x14ac:dyDescent="0.25">
      <c r="B10" s="59" t="s">
        <v>68</v>
      </c>
      <c r="C10" s="30">
        <v>5</v>
      </c>
      <c r="D10" s="30">
        <v>3.73</v>
      </c>
      <c r="E10" s="31">
        <v>0.875</v>
      </c>
      <c r="F10" s="32">
        <v>8</v>
      </c>
      <c r="G10" s="148">
        <v>12447.542857142857</v>
      </c>
      <c r="I10" s="99"/>
    </row>
    <row r="11" spans="2:9" ht="15.75" thickBot="1" x14ac:dyDescent="0.3">
      <c r="B11" s="62" t="s">
        <v>77</v>
      </c>
      <c r="C11" s="34">
        <v>5</v>
      </c>
      <c r="D11" s="34">
        <v>3.73</v>
      </c>
      <c r="E11" s="35">
        <v>0.85</v>
      </c>
      <c r="F11" s="36">
        <v>8</v>
      </c>
      <c r="G11" s="158">
        <v>12813.64705882353</v>
      </c>
      <c r="I11" s="99"/>
    </row>
    <row r="12" spans="2:9" x14ac:dyDescent="0.25">
      <c r="B12" s="66" t="s">
        <v>76</v>
      </c>
      <c r="C12" s="27">
        <v>10</v>
      </c>
      <c r="D12" s="27">
        <v>7.46</v>
      </c>
      <c r="E12" s="28">
        <v>0.91700000000000004</v>
      </c>
      <c r="F12" s="29">
        <v>8</v>
      </c>
      <c r="G12" s="147">
        <v>23754.852780806981</v>
      </c>
      <c r="I12" s="99"/>
    </row>
    <row r="13" spans="2:9" x14ac:dyDescent="0.25">
      <c r="B13" s="59" t="s">
        <v>68</v>
      </c>
      <c r="C13" s="30">
        <v>10</v>
      </c>
      <c r="D13" s="30">
        <v>7.46</v>
      </c>
      <c r="E13" s="31">
        <v>0.89500000000000002</v>
      </c>
      <c r="F13" s="32">
        <v>8</v>
      </c>
      <c r="G13" s="148">
        <v>24338.770949720667</v>
      </c>
      <c r="I13" s="99"/>
    </row>
    <row r="14" spans="2:9" ht="15.75" thickBot="1" x14ac:dyDescent="0.3">
      <c r="B14" s="60" t="s">
        <v>77</v>
      </c>
      <c r="C14" s="38">
        <v>10</v>
      </c>
      <c r="D14" s="38">
        <v>7.46</v>
      </c>
      <c r="E14" s="39">
        <v>0.875</v>
      </c>
      <c r="F14" s="40">
        <v>8</v>
      </c>
      <c r="G14" s="149">
        <v>24895.085714285713</v>
      </c>
      <c r="I14" s="99"/>
    </row>
    <row r="15" spans="2:9" x14ac:dyDescent="0.25">
      <c r="B15" s="66" t="s">
        <v>76</v>
      </c>
      <c r="C15" s="27">
        <v>25</v>
      </c>
      <c r="D15" s="27">
        <v>18.649999999999999</v>
      </c>
      <c r="E15" s="28">
        <v>0.93600000000000005</v>
      </c>
      <c r="F15" s="29">
        <v>8</v>
      </c>
      <c r="G15" s="159">
        <v>58181.623931623923</v>
      </c>
      <c r="I15" s="99"/>
    </row>
    <row r="16" spans="2:9" x14ac:dyDescent="0.25">
      <c r="B16" s="59" t="s">
        <v>68</v>
      </c>
      <c r="C16" s="30">
        <v>25</v>
      </c>
      <c r="D16" s="30">
        <v>18.649999999999999</v>
      </c>
      <c r="E16" s="31">
        <v>0.92400000000000004</v>
      </c>
      <c r="F16" s="32">
        <v>8</v>
      </c>
      <c r="G16" s="160">
        <v>58937.229437229427</v>
      </c>
      <c r="I16" s="99"/>
    </row>
    <row r="17" spans="2:9" ht="15.75" thickBot="1" x14ac:dyDescent="0.3">
      <c r="B17" s="60" t="s">
        <v>77</v>
      </c>
      <c r="C17" s="38">
        <v>25</v>
      </c>
      <c r="D17" s="38">
        <v>18.649999999999999</v>
      </c>
      <c r="E17" s="39">
        <v>0.90500000000000003</v>
      </c>
      <c r="F17" s="40">
        <v>8</v>
      </c>
      <c r="G17" s="161">
        <v>60174.585635359108</v>
      </c>
      <c r="I17" s="99"/>
    </row>
    <row r="18" spans="2:9" x14ac:dyDescent="0.25">
      <c r="B18" s="66" t="s">
        <v>76</v>
      </c>
      <c r="C18" s="27">
        <v>50</v>
      </c>
      <c r="D18" s="27">
        <f>C18*D3</f>
        <v>37.299999999999997</v>
      </c>
      <c r="E18" s="136">
        <f>E15</f>
        <v>0.93600000000000005</v>
      </c>
      <c r="F18" s="138">
        <v>8</v>
      </c>
      <c r="G18" s="162">
        <f>D18*G15/D15</f>
        <v>116363.24786324785</v>
      </c>
      <c r="I18" s="99"/>
    </row>
    <row r="19" spans="2:9" x14ac:dyDescent="0.25">
      <c r="B19" s="59" t="s">
        <v>68</v>
      </c>
      <c r="C19" s="30">
        <v>50</v>
      </c>
      <c r="D19" s="30">
        <f>+D18</f>
        <v>37.299999999999997</v>
      </c>
      <c r="E19" s="139">
        <f t="shared" ref="E19:E29" si="0">E16</f>
        <v>0.92400000000000004</v>
      </c>
      <c r="F19" s="33">
        <v>8</v>
      </c>
      <c r="G19" s="163">
        <f t="shared" ref="G19:G32" si="1">D19*G16/D16</f>
        <v>117874.45887445885</v>
      </c>
      <c r="I19" s="99"/>
    </row>
    <row r="20" spans="2:9" ht="15.75" thickBot="1" x14ac:dyDescent="0.3">
      <c r="B20" s="60" t="s">
        <v>77</v>
      </c>
      <c r="C20" s="38">
        <v>50</v>
      </c>
      <c r="D20" s="38">
        <f>+D19</f>
        <v>37.299999999999997</v>
      </c>
      <c r="E20" s="142">
        <f t="shared" si="0"/>
        <v>0.90500000000000003</v>
      </c>
      <c r="F20" s="143">
        <v>8</v>
      </c>
      <c r="G20" s="164">
        <f t="shared" si="1"/>
        <v>120349.1712707182</v>
      </c>
      <c r="I20" s="99"/>
    </row>
    <row r="21" spans="2:9" x14ac:dyDescent="0.25">
      <c r="B21" s="64" t="s">
        <v>76</v>
      </c>
      <c r="C21" s="41">
        <v>100</v>
      </c>
      <c r="D21" s="41">
        <f>C21*D3</f>
        <v>74.599999999999994</v>
      </c>
      <c r="E21" s="137">
        <f>E18</f>
        <v>0.93600000000000005</v>
      </c>
      <c r="F21" s="141">
        <v>8</v>
      </c>
      <c r="G21" s="163">
        <f>D21*G18/D18</f>
        <v>232726.49572649569</v>
      </c>
      <c r="I21" s="99"/>
    </row>
    <row r="22" spans="2:9" x14ac:dyDescent="0.25">
      <c r="B22" s="59" t="s">
        <v>68</v>
      </c>
      <c r="C22" s="30">
        <v>100</v>
      </c>
      <c r="D22" s="30">
        <f>+D21</f>
        <v>74.599999999999994</v>
      </c>
      <c r="E22" s="139">
        <f t="shared" si="0"/>
        <v>0.92400000000000004</v>
      </c>
      <c r="F22" s="33">
        <v>8</v>
      </c>
      <c r="G22" s="163">
        <f t="shared" si="1"/>
        <v>235748.91774891771</v>
      </c>
      <c r="I22" s="99"/>
    </row>
    <row r="23" spans="2:9" ht="15.75" thickBot="1" x14ac:dyDescent="0.3">
      <c r="B23" s="62" t="s">
        <v>77</v>
      </c>
      <c r="C23" s="34">
        <v>100</v>
      </c>
      <c r="D23" s="34">
        <f>+D22</f>
        <v>74.599999999999994</v>
      </c>
      <c r="E23" s="140">
        <f t="shared" si="0"/>
        <v>0.90500000000000003</v>
      </c>
      <c r="F23" s="37">
        <v>8</v>
      </c>
      <c r="G23" s="165">
        <f t="shared" si="1"/>
        <v>240698.3425414364</v>
      </c>
      <c r="I23" s="99"/>
    </row>
    <row r="24" spans="2:9" x14ac:dyDescent="0.25">
      <c r="B24" s="66" t="s">
        <v>76</v>
      </c>
      <c r="C24" s="27">
        <v>200</v>
      </c>
      <c r="D24" s="27">
        <f>C24*D3</f>
        <v>149.19999999999999</v>
      </c>
      <c r="E24" s="136">
        <f>E21</f>
        <v>0.93600000000000005</v>
      </c>
      <c r="F24" s="138">
        <v>8</v>
      </c>
      <c r="G24" s="162">
        <f>D24*G21/D21</f>
        <v>465452.99145299138</v>
      </c>
      <c r="I24" s="99"/>
    </row>
    <row r="25" spans="2:9" x14ac:dyDescent="0.25">
      <c r="B25" s="59" t="s">
        <v>68</v>
      </c>
      <c r="C25" s="30">
        <v>200</v>
      </c>
      <c r="D25" s="30">
        <f>+D24</f>
        <v>149.19999999999999</v>
      </c>
      <c r="E25" s="139">
        <f t="shared" si="0"/>
        <v>0.92400000000000004</v>
      </c>
      <c r="F25" s="33">
        <v>8</v>
      </c>
      <c r="G25" s="163">
        <f t="shared" si="1"/>
        <v>471497.83549783542</v>
      </c>
      <c r="I25" s="99"/>
    </row>
    <row r="26" spans="2:9" ht="15.75" thickBot="1" x14ac:dyDescent="0.3">
      <c r="B26" s="60" t="s">
        <v>77</v>
      </c>
      <c r="C26" s="38">
        <v>200</v>
      </c>
      <c r="D26" s="38">
        <f>+D25</f>
        <v>149.19999999999999</v>
      </c>
      <c r="E26" s="142">
        <f t="shared" si="0"/>
        <v>0.90500000000000003</v>
      </c>
      <c r="F26" s="143">
        <v>8</v>
      </c>
      <c r="G26" s="164">
        <f t="shared" si="1"/>
        <v>481396.68508287281</v>
      </c>
      <c r="I26" s="99"/>
    </row>
    <row r="27" spans="2:9" x14ac:dyDescent="0.25">
      <c r="B27" s="66" t="s">
        <v>76</v>
      </c>
      <c r="C27" s="27">
        <v>500</v>
      </c>
      <c r="D27" s="27">
        <f>C27*D3</f>
        <v>373</v>
      </c>
      <c r="E27" s="136">
        <f>E24</f>
        <v>0.93600000000000005</v>
      </c>
      <c r="F27" s="138">
        <v>8</v>
      </c>
      <c r="G27" s="162">
        <f>D27*G24/D24</f>
        <v>1163632.4786324785</v>
      </c>
      <c r="I27" s="99">
        <f t="shared" ref="I27" si="2">G27*E27/D27</f>
        <v>2920</v>
      </c>
    </row>
    <row r="28" spans="2:9" x14ac:dyDescent="0.25">
      <c r="B28" s="59" t="s">
        <v>68</v>
      </c>
      <c r="C28" s="30">
        <v>500</v>
      </c>
      <c r="D28" s="30">
        <f>+D27</f>
        <v>373</v>
      </c>
      <c r="E28" s="139">
        <f t="shared" si="0"/>
        <v>0.92400000000000004</v>
      </c>
      <c r="F28" s="33">
        <v>8</v>
      </c>
      <c r="G28" s="163">
        <f t="shared" si="1"/>
        <v>1178744.5887445887</v>
      </c>
      <c r="I28" s="99">
        <f>G28*E28/D28</f>
        <v>2920</v>
      </c>
    </row>
    <row r="29" spans="2:9" ht="15.75" thickBot="1" x14ac:dyDescent="0.3">
      <c r="B29" s="60" t="s">
        <v>77</v>
      </c>
      <c r="C29" s="38">
        <v>500</v>
      </c>
      <c r="D29" s="38">
        <f>+D28</f>
        <v>373</v>
      </c>
      <c r="E29" s="142">
        <f t="shared" si="0"/>
        <v>0.90500000000000003</v>
      </c>
      <c r="F29" s="143">
        <v>8</v>
      </c>
      <c r="G29" s="164">
        <f t="shared" si="1"/>
        <v>1203491.7127071822</v>
      </c>
      <c r="I29" s="99">
        <f>G29*E29/D29</f>
        <v>2920</v>
      </c>
    </row>
    <row r="30" spans="2:9" x14ac:dyDescent="0.25">
      <c r="B30" s="64" t="s">
        <v>76</v>
      </c>
      <c r="C30" s="41">
        <v>700</v>
      </c>
      <c r="D30" s="41">
        <f>C30*D3</f>
        <v>522.20000000000005</v>
      </c>
      <c r="E30" s="136">
        <f>E18</f>
        <v>0.93600000000000005</v>
      </c>
      <c r="F30" s="138">
        <v>8</v>
      </c>
      <c r="G30" s="162">
        <f>D30*G27/D27</f>
        <v>1629085.47008547</v>
      </c>
      <c r="I30" s="99"/>
    </row>
    <row r="31" spans="2:9" x14ac:dyDescent="0.25">
      <c r="B31" s="59" t="s">
        <v>68</v>
      </c>
      <c r="C31" s="41">
        <v>700</v>
      </c>
      <c r="D31" s="41">
        <f t="shared" ref="D31:D32" si="3">C31*D4</f>
        <v>522.20000000000005</v>
      </c>
      <c r="E31" s="139">
        <f t="shared" ref="E31:E32" si="4">E19</f>
        <v>0.92400000000000004</v>
      </c>
      <c r="F31" s="33">
        <v>8</v>
      </c>
      <c r="G31" s="163">
        <f t="shared" si="1"/>
        <v>1650242.4242424243</v>
      </c>
      <c r="I31" s="99"/>
    </row>
    <row r="32" spans="2:9" ht="15.75" thickBot="1" x14ac:dyDescent="0.3">
      <c r="B32" s="60" t="s">
        <v>77</v>
      </c>
      <c r="C32" s="41">
        <v>700</v>
      </c>
      <c r="D32" s="41">
        <f t="shared" si="3"/>
        <v>522.20000000000005</v>
      </c>
      <c r="E32" s="142">
        <f t="shared" si="4"/>
        <v>0.90500000000000003</v>
      </c>
      <c r="F32" s="143">
        <v>8</v>
      </c>
      <c r="G32" s="164">
        <f t="shared" si="1"/>
        <v>1684888.3977900553</v>
      </c>
      <c r="I32" s="99"/>
    </row>
    <row r="33" spans="2:18" x14ac:dyDescent="0.25">
      <c r="B33" s="255" t="s">
        <v>184</v>
      </c>
      <c r="C33" s="255"/>
      <c r="D33" s="255"/>
      <c r="E33" s="255"/>
      <c r="F33" s="255"/>
      <c r="G33" s="255"/>
    </row>
    <row r="34" spans="2:18" x14ac:dyDescent="0.25">
      <c r="B34" s="256"/>
      <c r="C34" s="256"/>
      <c r="D34" s="256"/>
      <c r="E34" s="256"/>
      <c r="F34" s="256"/>
      <c r="G34" s="256"/>
    </row>
    <row r="35" spans="2:18" ht="15.75" thickBot="1" x14ac:dyDescent="0.3"/>
    <row r="36" spans="2:18" ht="15.75" thickBot="1" x14ac:dyDescent="0.3">
      <c r="D36" s="264" t="s">
        <v>78</v>
      </c>
      <c r="E36" s="265"/>
      <c r="F36" s="265"/>
      <c r="G36" s="265"/>
      <c r="H36" s="266"/>
    </row>
    <row r="37" spans="2:18" x14ac:dyDescent="0.25">
      <c r="D37" s="44" t="s">
        <v>79</v>
      </c>
      <c r="E37" s="45" t="s">
        <v>80</v>
      </c>
      <c r="F37" s="45" t="s">
        <v>81</v>
      </c>
      <c r="G37" s="45" t="s">
        <v>82</v>
      </c>
      <c r="H37" s="46" t="s">
        <v>83</v>
      </c>
    </row>
    <row r="38" spans="2:18" ht="15.75" thickBot="1" x14ac:dyDescent="0.3">
      <c r="D38" s="47">
        <v>0.33</v>
      </c>
      <c r="E38" s="48">
        <v>0.35</v>
      </c>
      <c r="F38" s="48">
        <v>0.25</v>
      </c>
      <c r="G38" s="49">
        <v>0.05</v>
      </c>
      <c r="H38" s="50">
        <v>0.02</v>
      </c>
    </row>
    <row r="39" spans="2:18" ht="15.75" thickBot="1" x14ac:dyDescent="0.3"/>
    <row r="40" spans="2:18" ht="15.75" thickBot="1" x14ac:dyDescent="0.3">
      <c r="B40" s="273"/>
      <c r="C40" s="274"/>
      <c r="D40" s="96" t="s">
        <v>84</v>
      </c>
    </row>
    <row r="41" spans="2:18" x14ac:dyDescent="0.25">
      <c r="B41" s="267" t="s">
        <v>85</v>
      </c>
      <c r="C41" s="268"/>
      <c r="D41" s="130">
        <f>G3*$D$38+G6*$E$38+G9*$F$38+G12*$G$38+G15*$H$38</f>
        <v>7997.2788862459374</v>
      </c>
    </row>
    <row r="42" spans="2:18" x14ac:dyDescent="0.25">
      <c r="B42" s="269" t="s">
        <v>86</v>
      </c>
      <c r="C42" s="270"/>
      <c r="D42" s="97">
        <f t="shared" ref="D42:D43" si="5">G4*$D$38+G7*$E$38+G10*$F$38+G13*$G$38+G16*$H$38</f>
        <v>8194.1635171830039</v>
      </c>
    </row>
    <row r="43" spans="2:18" ht="15.75" thickBot="1" x14ac:dyDescent="0.3">
      <c r="B43" s="271" t="s">
        <v>87</v>
      </c>
      <c r="C43" s="272"/>
      <c r="D43" s="98">
        <f t="shared" si="5"/>
        <v>8444.2043794558067</v>
      </c>
    </row>
    <row r="45" spans="2:18" s="93" customFormat="1" x14ac:dyDescent="0.25"/>
    <row r="46" spans="2:18" hidden="1" x14ac:dyDescent="0.25"/>
    <row r="47" spans="2:18" ht="15.75" hidden="1" thickBot="1" x14ac:dyDescent="0.3">
      <c r="B47" s="10" t="s">
        <v>89</v>
      </c>
      <c r="J47" s="10" t="s">
        <v>90</v>
      </c>
    </row>
    <row r="48" spans="2:18" ht="30.75" hidden="1" thickBot="1" x14ac:dyDescent="0.3">
      <c r="B48" s="68" t="s">
        <v>70</v>
      </c>
      <c r="C48" s="25" t="s">
        <v>88</v>
      </c>
      <c r="D48" s="25" t="s">
        <v>73</v>
      </c>
      <c r="E48" s="25" t="s">
        <v>74</v>
      </c>
      <c r="F48" s="25" t="s">
        <v>75</v>
      </c>
      <c r="G48" s="25" t="s">
        <v>74</v>
      </c>
      <c r="H48" s="26" t="s">
        <v>75</v>
      </c>
      <c r="J48" s="257" t="s">
        <v>54</v>
      </c>
      <c r="K48" s="259" t="s">
        <v>91</v>
      </c>
      <c r="L48" s="260"/>
      <c r="M48" s="260"/>
      <c r="N48" s="260"/>
      <c r="O48" s="261" t="s">
        <v>92</v>
      </c>
      <c r="P48" s="262"/>
      <c r="Q48" s="262"/>
      <c r="R48" s="263"/>
    </row>
    <row r="49" spans="2:18" ht="30.75" hidden="1" thickBot="1" x14ac:dyDescent="0.3">
      <c r="B49" s="125" t="s">
        <v>76</v>
      </c>
      <c r="C49" s="126">
        <v>800</v>
      </c>
      <c r="D49" s="127">
        <v>0.84</v>
      </c>
      <c r="E49" s="128">
        <v>8</v>
      </c>
      <c r="F49" s="144">
        <v>2780952.3809523801</v>
      </c>
      <c r="G49" s="129">
        <v>6</v>
      </c>
      <c r="H49" s="51">
        <f>F49*G49/E49</f>
        <v>2085714.285714285</v>
      </c>
      <c r="J49" s="258"/>
      <c r="K49" s="86" t="s">
        <v>97</v>
      </c>
      <c r="L49" s="87" t="s">
        <v>94</v>
      </c>
      <c r="M49" s="87" t="s">
        <v>95</v>
      </c>
      <c r="N49" s="88" t="s">
        <v>96</v>
      </c>
      <c r="O49" s="90" t="s">
        <v>97</v>
      </c>
      <c r="P49" s="91" t="s">
        <v>94</v>
      </c>
      <c r="Q49" s="91" t="s">
        <v>95</v>
      </c>
      <c r="R49" s="92" t="s">
        <v>96</v>
      </c>
    </row>
    <row r="50" spans="2:18" hidden="1" x14ac:dyDescent="0.25">
      <c r="B50" s="59" t="s">
        <v>68</v>
      </c>
      <c r="C50" s="30">
        <v>800</v>
      </c>
      <c r="D50" s="58">
        <v>0.81</v>
      </c>
      <c r="E50" s="32">
        <v>8</v>
      </c>
      <c r="F50" s="145">
        <v>2883950.6172839506</v>
      </c>
      <c r="G50" s="33">
        <v>6</v>
      </c>
      <c r="H50" s="52">
        <v>2883950.6172839506</v>
      </c>
      <c r="J50" s="77" t="s">
        <v>93</v>
      </c>
      <c r="K50" s="82"/>
      <c r="L50" s="83"/>
      <c r="M50" s="84"/>
      <c r="N50" s="85"/>
      <c r="O50" s="83"/>
      <c r="P50" s="83"/>
      <c r="Q50" s="84"/>
      <c r="R50" s="89"/>
    </row>
    <row r="51" spans="2:18" ht="15.75" hidden="1" thickBot="1" x14ac:dyDescent="0.3">
      <c r="B51" s="62" t="s">
        <v>77</v>
      </c>
      <c r="C51" s="34">
        <v>800</v>
      </c>
      <c r="D51" s="63">
        <v>0.79</v>
      </c>
      <c r="E51" s="36">
        <v>8</v>
      </c>
      <c r="F51" s="146">
        <v>2956962.0253164554</v>
      </c>
      <c r="G51" s="37">
        <v>6</v>
      </c>
      <c r="H51" s="53">
        <v>2956962.0253164554</v>
      </c>
      <c r="J51" s="78" t="s">
        <v>93</v>
      </c>
      <c r="K51" s="69"/>
      <c r="L51" s="72"/>
      <c r="M51" s="70"/>
      <c r="N51" s="80"/>
      <c r="O51" s="72"/>
      <c r="P51" s="72"/>
      <c r="Q51" s="70"/>
      <c r="R51" s="71"/>
    </row>
    <row r="52" spans="2:18" hidden="1" x14ac:dyDescent="0.25">
      <c r="B52" s="66" t="s">
        <v>76</v>
      </c>
      <c r="C52" s="131"/>
      <c r="D52" s="67">
        <v>0.84</v>
      </c>
      <c r="E52" s="29"/>
      <c r="F52" s="147"/>
      <c r="G52" s="29"/>
      <c r="H52" s="54"/>
      <c r="J52" s="78" t="s">
        <v>93</v>
      </c>
      <c r="K52" s="69"/>
      <c r="L52" s="72"/>
      <c r="M52" s="70"/>
      <c r="N52" s="80"/>
      <c r="O52" s="72"/>
      <c r="P52" s="72"/>
      <c r="Q52" s="70"/>
      <c r="R52" s="71"/>
    </row>
    <row r="53" spans="2:18" ht="15.75" hidden="1" thickBot="1" x14ac:dyDescent="0.3">
      <c r="B53" s="59" t="s">
        <v>68</v>
      </c>
      <c r="C53" s="132"/>
      <c r="D53" s="58">
        <v>0.81</v>
      </c>
      <c r="E53" s="32"/>
      <c r="F53" s="148"/>
      <c r="G53" s="32"/>
      <c r="H53" s="55"/>
      <c r="J53" s="79" t="s">
        <v>93</v>
      </c>
      <c r="K53" s="73"/>
      <c r="L53" s="76"/>
      <c r="M53" s="74"/>
      <c r="N53" s="81"/>
      <c r="O53" s="76"/>
      <c r="P53" s="76"/>
      <c r="Q53" s="74"/>
      <c r="R53" s="75"/>
    </row>
    <row r="54" spans="2:18" ht="15.75" hidden="1" thickBot="1" x14ac:dyDescent="0.3">
      <c r="B54" s="60" t="s">
        <v>77</v>
      </c>
      <c r="C54" s="133"/>
      <c r="D54" s="61">
        <v>0.79</v>
      </c>
      <c r="E54" s="40"/>
      <c r="F54" s="149"/>
      <c r="G54" s="40"/>
      <c r="H54" s="56"/>
    </row>
    <row r="55" spans="2:18" hidden="1" x14ac:dyDescent="0.25">
      <c r="B55" s="64" t="s">
        <v>76</v>
      </c>
      <c r="C55" s="134"/>
      <c r="D55" s="65">
        <v>0.84</v>
      </c>
      <c r="E55" s="43"/>
      <c r="F55" s="150"/>
      <c r="G55" s="43"/>
      <c r="H55" s="57"/>
    </row>
    <row r="56" spans="2:18" hidden="1" x14ac:dyDescent="0.25">
      <c r="B56" s="59" t="s">
        <v>68</v>
      </c>
      <c r="C56" s="132"/>
      <c r="D56" s="58">
        <v>0.81</v>
      </c>
      <c r="E56" s="32"/>
      <c r="F56" s="148"/>
      <c r="G56" s="32"/>
      <c r="H56" s="55"/>
    </row>
    <row r="57" spans="2:18" ht="15.75" hidden="1" thickBot="1" x14ac:dyDescent="0.3">
      <c r="B57" s="60" t="s">
        <v>77</v>
      </c>
      <c r="C57" s="133"/>
      <c r="D57" s="61">
        <v>0.79</v>
      </c>
      <c r="E57" s="40"/>
      <c r="F57" s="149"/>
      <c r="G57" s="40"/>
      <c r="H57" s="56"/>
    </row>
    <row r="58" spans="2:18" hidden="1" x14ac:dyDescent="0.25">
      <c r="B58" s="64" t="s">
        <v>76</v>
      </c>
      <c r="C58" s="135"/>
      <c r="D58" s="65">
        <v>0.84</v>
      </c>
      <c r="E58" s="43"/>
      <c r="F58" s="150"/>
      <c r="G58" s="43"/>
      <c r="H58" s="57"/>
    </row>
    <row r="59" spans="2:18" hidden="1" x14ac:dyDescent="0.25">
      <c r="B59" s="59" t="s">
        <v>68</v>
      </c>
      <c r="C59" s="132"/>
      <c r="D59" s="58">
        <v>0.81</v>
      </c>
      <c r="E59" s="32"/>
      <c r="F59" s="148"/>
      <c r="G59" s="32"/>
      <c r="H59" s="55"/>
    </row>
    <row r="60" spans="2:18" ht="15.75" hidden="1" thickBot="1" x14ac:dyDescent="0.3">
      <c r="B60" s="60" t="s">
        <v>77</v>
      </c>
      <c r="C60" s="133"/>
      <c r="D60" s="61">
        <v>0.79</v>
      </c>
      <c r="E60" s="40"/>
      <c r="F60" s="149"/>
      <c r="G60" s="40"/>
      <c r="H60" s="56"/>
    </row>
    <row r="61" spans="2:18" ht="15" hidden="1" customHeight="1" x14ac:dyDescent="0.25">
      <c r="B61" s="255" t="s">
        <v>184</v>
      </c>
      <c r="C61" s="255"/>
      <c r="D61" s="255"/>
      <c r="E61" s="255"/>
      <c r="F61" s="255"/>
      <c r="G61" s="255"/>
      <c r="H61" s="255"/>
    </row>
    <row r="62" spans="2:18" hidden="1" x14ac:dyDescent="0.25">
      <c r="B62" s="256"/>
      <c r="C62" s="256"/>
      <c r="D62" s="256"/>
      <c r="E62" s="256"/>
      <c r="F62" s="256"/>
      <c r="G62" s="256"/>
      <c r="H62" s="256"/>
    </row>
  </sheetData>
  <mergeCells count="10">
    <mergeCell ref="B33:G34"/>
    <mergeCell ref="B61:H62"/>
    <mergeCell ref="J48:J49"/>
    <mergeCell ref="K48:N48"/>
    <mergeCell ref="O48:R48"/>
    <mergeCell ref="D36:H36"/>
    <mergeCell ref="B41:C41"/>
    <mergeCell ref="B42:C42"/>
    <mergeCell ref="B43:C43"/>
    <mergeCell ref="B40:C40"/>
  </mergeCells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M12"/>
  <sheetViews>
    <sheetView workbookViewId="0">
      <selection activeCell="M10" sqref="M10"/>
    </sheetView>
  </sheetViews>
  <sheetFormatPr baseColWidth="10" defaultColWidth="11.42578125" defaultRowHeight="15" x14ac:dyDescent="0.25"/>
  <cols>
    <col min="1" max="1" width="3.85546875" style="1" customWidth="1"/>
    <col min="2" max="2" width="16.28515625" style="1" customWidth="1"/>
    <col min="3" max="3" width="20.7109375" style="1" bestFit="1" customWidth="1"/>
    <col min="4" max="16384" width="11.42578125" style="1"/>
  </cols>
  <sheetData>
    <row r="2" spans="2:13" x14ac:dyDescent="0.25">
      <c r="B2" s="10" t="s">
        <v>54</v>
      </c>
      <c r="C2" s="10" t="s">
        <v>96</v>
      </c>
    </row>
    <row r="3" spans="2:13" x14ac:dyDescent="0.25">
      <c r="B3" s="1" t="s">
        <v>67</v>
      </c>
      <c r="C3" s="1" t="s">
        <v>99</v>
      </c>
      <c r="D3" s="1">
        <v>1</v>
      </c>
      <c r="E3" s="1">
        <v>2</v>
      </c>
      <c r="F3" s="1">
        <v>5</v>
      </c>
      <c r="G3" s="1">
        <v>10</v>
      </c>
      <c r="H3" s="1">
        <v>25</v>
      </c>
      <c r="I3" s="1">
        <v>50</v>
      </c>
      <c r="J3" s="1">
        <v>100</v>
      </c>
      <c r="K3" s="1">
        <v>200</v>
      </c>
      <c r="L3" s="1">
        <v>500</v>
      </c>
      <c r="M3" s="1">
        <v>700</v>
      </c>
    </row>
    <row r="4" spans="2:13" x14ac:dyDescent="0.25">
      <c r="B4" s="1" t="s">
        <v>93</v>
      </c>
      <c r="C4" s="1" t="s">
        <v>98</v>
      </c>
      <c r="D4" s="1">
        <v>100</v>
      </c>
      <c r="E4" s="1">
        <v>200</v>
      </c>
      <c r="F4" s="1">
        <v>400</v>
      </c>
      <c r="G4" s="1">
        <v>600</v>
      </c>
      <c r="H4" s="1">
        <v>900</v>
      </c>
      <c r="I4" s="1">
        <v>1000</v>
      </c>
    </row>
    <row r="6" spans="2:13" x14ac:dyDescent="0.25">
      <c r="B6" s="120" t="s">
        <v>94</v>
      </c>
      <c r="C6" s="120" t="s">
        <v>170</v>
      </c>
    </row>
    <row r="7" spans="2:13" x14ac:dyDescent="0.25">
      <c r="B7" s="119" t="s">
        <v>143</v>
      </c>
      <c r="C7" s="30" t="s">
        <v>171</v>
      </c>
    </row>
    <row r="8" spans="2:13" x14ac:dyDescent="0.25">
      <c r="B8" s="114" t="s">
        <v>145</v>
      </c>
      <c r="C8" s="30" t="s">
        <v>171</v>
      </c>
    </row>
    <row r="9" spans="2:13" ht="17.25" x14ac:dyDescent="0.25">
      <c r="B9" s="114" t="s">
        <v>146</v>
      </c>
      <c r="C9" s="30" t="s">
        <v>174</v>
      </c>
    </row>
    <row r="10" spans="2:13" x14ac:dyDescent="0.25">
      <c r="B10" s="114" t="s">
        <v>147</v>
      </c>
      <c r="C10" s="30" t="s">
        <v>173</v>
      </c>
    </row>
    <row r="11" spans="2:13" x14ac:dyDescent="0.25">
      <c r="B11" s="112" t="s">
        <v>144</v>
      </c>
      <c r="C11" s="30" t="s">
        <v>171</v>
      </c>
    </row>
    <row r="12" spans="2:13" x14ac:dyDescent="0.25">
      <c r="B12" s="114" t="s">
        <v>148</v>
      </c>
      <c r="C12" s="30" t="s">
        <v>171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R42"/>
  <sheetViews>
    <sheetView workbookViewId="0">
      <selection activeCell="C3" sqref="C3"/>
    </sheetView>
  </sheetViews>
  <sheetFormatPr baseColWidth="10" defaultColWidth="11.42578125" defaultRowHeight="15" x14ac:dyDescent="0.25"/>
  <cols>
    <col min="1" max="1" width="4.42578125" style="1" customWidth="1"/>
    <col min="2" max="2" width="15.7109375" style="1" customWidth="1"/>
    <col min="3" max="4" width="11.42578125" style="1"/>
    <col min="5" max="5" width="10.28515625" style="1" customWidth="1"/>
    <col min="6" max="6" width="15.42578125" style="1" customWidth="1"/>
    <col min="7" max="10" width="11.42578125" style="1"/>
    <col min="11" max="11" width="3.5703125" style="1" customWidth="1"/>
    <col min="12" max="12" width="11.42578125" style="1"/>
    <col min="13" max="13" width="14.28515625" style="1" customWidth="1"/>
    <col min="14" max="14" width="12.28515625" style="1" customWidth="1"/>
    <col min="15" max="17" width="14.7109375" style="1" customWidth="1"/>
    <col min="18" max="16384" width="11.42578125" style="1"/>
  </cols>
  <sheetData>
    <row r="2" spans="2:18" ht="18" x14ac:dyDescent="0.35">
      <c r="B2" s="105" t="s">
        <v>127</v>
      </c>
      <c r="O2" s="10" t="s">
        <v>137</v>
      </c>
    </row>
    <row r="3" spans="2:18" x14ac:dyDescent="0.25">
      <c r="B3" s="106" t="s">
        <v>58</v>
      </c>
      <c r="C3" s="106" t="s">
        <v>128</v>
      </c>
      <c r="D3" s="106" t="s">
        <v>31</v>
      </c>
      <c r="O3" s="106" t="s">
        <v>58</v>
      </c>
      <c r="P3" s="106" t="s">
        <v>138</v>
      </c>
      <c r="Q3" s="106" t="s">
        <v>139</v>
      </c>
      <c r="R3" s="106" t="s">
        <v>31</v>
      </c>
    </row>
    <row r="4" spans="2:18" x14ac:dyDescent="0.25">
      <c r="B4" s="30">
        <v>2010</v>
      </c>
      <c r="C4" s="168">
        <v>0.104</v>
      </c>
      <c r="D4" s="110" t="s">
        <v>129</v>
      </c>
      <c r="O4" s="30">
        <v>2010</v>
      </c>
      <c r="P4" s="109"/>
      <c r="Q4" s="166">
        <v>0.59799999999999998</v>
      </c>
    </row>
    <row r="5" spans="2:18" x14ac:dyDescent="0.25">
      <c r="B5" s="30">
        <v>2011</v>
      </c>
      <c r="C5" s="168">
        <v>0.108</v>
      </c>
      <c r="D5" s="110" t="s">
        <v>130</v>
      </c>
      <c r="O5" s="30">
        <v>2011</v>
      </c>
      <c r="P5" s="109"/>
      <c r="Q5" s="166">
        <v>0.61926999999999999</v>
      </c>
    </row>
    <row r="6" spans="2:18" x14ac:dyDescent="0.25">
      <c r="B6" s="30">
        <v>2012</v>
      </c>
      <c r="C6" s="168">
        <v>0.109</v>
      </c>
      <c r="D6" s="110" t="s">
        <v>131</v>
      </c>
      <c r="O6" s="30">
        <v>2012</v>
      </c>
      <c r="P6" s="109"/>
      <c r="Q6" s="166">
        <v>0.62709999999999999</v>
      </c>
    </row>
    <row r="7" spans="2:18" x14ac:dyDescent="0.25">
      <c r="B7" s="30">
        <v>2013</v>
      </c>
      <c r="C7" s="168">
        <v>0.109</v>
      </c>
      <c r="D7" s="110" t="s">
        <v>132</v>
      </c>
      <c r="O7" s="30">
        <v>2013</v>
      </c>
      <c r="P7" s="109"/>
      <c r="Q7" s="167">
        <f>Q6</f>
        <v>0.62709999999999999</v>
      </c>
    </row>
    <row r="8" spans="2:18" x14ac:dyDescent="0.25">
      <c r="B8" s="30">
        <v>2014</v>
      </c>
      <c r="C8" s="168">
        <f>AVERAGE(C7,C9)</f>
        <v>0.111</v>
      </c>
      <c r="D8" s="110" t="s">
        <v>133</v>
      </c>
      <c r="O8" s="30">
        <v>2014</v>
      </c>
      <c r="P8" s="109"/>
      <c r="Q8" s="167">
        <f>Q7</f>
        <v>0.62709999999999999</v>
      </c>
    </row>
    <row r="9" spans="2:18" x14ac:dyDescent="0.25">
      <c r="B9" s="30">
        <v>2015</v>
      </c>
      <c r="C9" s="168">
        <v>0.113</v>
      </c>
      <c r="D9" s="110" t="s">
        <v>134</v>
      </c>
      <c r="O9" s="30">
        <v>2015</v>
      </c>
      <c r="P9" s="109"/>
      <c r="Q9" s="167">
        <f>Q8</f>
        <v>0.62709999999999999</v>
      </c>
    </row>
    <row r="10" spans="2:18" x14ac:dyDescent="0.25">
      <c r="B10" s="30">
        <v>2016</v>
      </c>
      <c r="C10" s="168">
        <v>0.109</v>
      </c>
      <c r="D10" s="110" t="s">
        <v>135</v>
      </c>
      <c r="O10" s="30">
        <v>2016</v>
      </c>
      <c r="P10" s="166">
        <v>0.43230000000000002</v>
      </c>
      <c r="Q10" s="166">
        <v>0.41189999999999999</v>
      </c>
      <c r="R10" s="111" t="s">
        <v>140</v>
      </c>
    </row>
    <row r="11" spans="2:18" x14ac:dyDescent="0.25">
      <c r="B11" s="30">
        <v>2017</v>
      </c>
      <c r="C11" s="168">
        <v>0.108</v>
      </c>
      <c r="D11" s="110" t="s">
        <v>136</v>
      </c>
      <c r="O11" s="30">
        <v>2017</v>
      </c>
      <c r="P11" s="166">
        <v>0.43230000000000002</v>
      </c>
      <c r="Q11" s="166">
        <v>0.41189999999999999</v>
      </c>
    </row>
    <row r="12" spans="2:18" x14ac:dyDescent="0.25">
      <c r="B12" s="30">
        <v>2018</v>
      </c>
      <c r="C12" s="169">
        <f>C11</f>
        <v>0.108</v>
      </c>
      <c r="D12" s="108"/>
      <c r="O12" s="30">
        <v>2018</v>
      </c>
      <c r="P12" s="166">
        <v>0.43230000000000002</v>
      </c>
      <c r="Q12" s="166">
        <v>0.41189999999999999</v>
      </c>
    </row>
    <row r="13" spans="2:18" x14ac:dyDescent="0.25">
      <c r="B13" s="30">
        <v>2019</v>
      </c>
      <c r="C13" s="107"/>
      <c r="D13" s="108"/>
      <c r="O13" s="30">
        <v>2019</v>
      </c>
      <c r="P13" s="109"/>
      <c r="Q13" s="109"/>
    </row>
    <row r="14" spans="2:18" x14ac:dyDescent="0.25">
      <c r="B14" s="30">
        <v>2020</v>
      </c>
      <c r="C14" s="107"/>
      <c r="D14" s="108"/>
      <c r="O14" s="30">
        <v>2020</v>
      </c>
      <c r="P14" s="109"/>
      <c r="Q14" s="109"/>
    </row>
    <row r="15" spans="2:18" x14ac:dyDescent="0.25">
      <c r="B15" s="30">
        <v>2021</v>
      </c>
      <c r="C15" s="107"/>
      <c r="D15" s="108"/>
      <c r="O15" s="30">
        <v>2021</v>
      </c>
      <c r="P15" s="109"/>
      <c r="Q15" s="109"/>
    </row>
    <row r="16" spans="2:18" x14ac:dyDescent="0.25">
      <c r="B16" s="30">
        <v>2022</v>
      </c>
      <c r="C16" s="107"/>
      <c r="D16" s="108"/>
      <c r="O16" s="30">
        <v>2022</v>
      </c>
      <c r="P16" s="109"/>
      <c r="Q16" s="109"/>
    </row>
    <row r="17" spans="2:17" x14ac:dyDescent="0.25">
      <c r="B17" s="30">
        <v>2023</v>
      </c>
      <c r="C17" s="107"/>
      <c r="D17" s="108"/>
      <c r="O17" s="30">
        <v>2023</v>
      </c>
      <c r="P17" s="109"/>
      <c r="Q17" s="109"/>
    </row>
    <row r="18" spans="2:17" x14ac:dyDescent="0.25">
      <c r="B18" s="30">
        <v>2024</v>
      </c>
      <c r="C18" s="107"/>
      <c r="D18" s="108"/>
      <c r="O18" s="30">
        <v>2024</v>
      </c>
      <c r="P18" s="109"/>
      <c r="Q18" s="109"/>
    </row>
    <row r="19" spans="2:17" x14ac:dyDescent="0.25">
      <c r="B19" s="30">
        <v>2025</v>
      </c>
      <c r="C19" s="107"/>
      <c r="D19" s="108"/>
      <c r="O19" s="30">
        <v>2025</v>
      </c>
      <c r="P19" s="109"/>
      <c r="Q19" s="109"/>
    </row>
    <row r="20" spans="2:17" x14ac:dyDescent="0.25">
      <c r="B20" s="30">
        <v>2026</v>
      </c>
      <c r="C20" s="107"/>
      <c r="D20" s="108"/>
      <c r="O20" s="30">
        <v>2026</v>
      </c>
      <c r="P20" s="109"/>
      <c r="Q20" s="109"/>
    </row>
    <row r="21" spans="2:17" x14ac:dyDescent="0.25">
      <c r="B21" s="30">
        <v>2027</v>
      </c>
      <c r="C21" s="107"/>
      <c r="D21" s="108"/>
      <c r="O21" s="30">
        <v>2027</v>
      </c>
      <c r="P21" s="109"/>
      <c r="Q21" s="109"/>
    </row>
    <row r="22" spans="2:17" x14ac:dyDescent="0.25">
      <c r="B22" s="30">
        <v>2028</v>
      </c>
      <c r="C22" s="107"/>
      <c r="D22" s="108"/>
      <c r="O22" s="30">
        <v>2028</v>
      </c>
      <c r="P22" s="109"/>
      <c r="Q22" s="109"/>
    </row>
    <row r="23" spans="2:17" x14ac:dyDescent="0.25">
      <c r="B23" s="30">
        <v>2029</v>
      </c>
      <c r="C23" s="107"/>
      <c r="D23" s="108"/>
      <c r="O23" s="30">
        <v>2029</v>
      </c>
      <c r="P23" s="109"/>
      <c r="Q23" s="109"/>
    </row>
    <row r="24" spans="2:17" x14ac:dyDescent="0.25">
      <c r="B24" s="30">
        <v>2030</v>
      </c>
      <c r="C24" s="107"/>
      <c r="D24" s="108"/>
      <c r="O24" s="30">
        <v>2030</v>
      </c>
      <c r="P24" s="109"/>
      <c r="Q24" s="109"/>
    </row>
    <row r="25" spans="2:17" x14ac:dyDescent="0.25">
      <c r="O25" s="275" t="s">
        <v>188</v>
      </c>
      <c r="P25" s="275"/>
      <c r="Q25" s="275"/>
    </row>
    <row r="26" spans="2:17" x14ac:dyDescent="0.25">
      <c r="B26" s="10" t="s">
        <v>149</v>
      </c>
      <c r="F26" s="10" t="s">
        <v>150</v>
      </c>
      <c r="O26" s="276"/>
      <c r="P26" s="276"/>
      <c r="Q26" s="276"/>
    </row>
    <row r="27" spans="2:17" x14ac:dyDescent="0.25">
      <c r="B27" s="4" t="s">
        <v>94</v>
      </c>
      <c r="C27" s="4" t="s">
        <v>142</v>
      </c>
      <c r="D27" s="4" t="s">
        <v>96</v>
      </c>
      <c r="F27" s="4" t="s">
        <v>94</v>
      </c>
      <c r="G27" s="115" t="s">
        <v>151</v>
      </c>
      <c r="H27" s="115" t="s">
        <v>152</v>
      </c>
      <c r="I27" s="115" t="s">
        <v>153</v>
      </c>
      <c r="J27" s="115" t="s">
        <v>154</v>
      </c>
      <c r="O27" s="276"/>
      <c r="P27" s="276"/>
      <c r="Q27" s="276"/>
    </row>
    <row r="28" spans="2:17" x14ac:dyDescent="0.25">
      <c r="B28" s="112" t="s">
        <v>143</v>
      </c>
      <c r="C28" s="170">
        <v>1.5071395665038287E-4</v>
      </c>
      <c r="D28" s="113" t="s">
        <v>199</v>
      </c>
      <c r="F28" s="112" t="s">
        <v>143</v>
      </c>
      <c r="G28" s="171">
        <v>77400</v>
      </c>
      <c r="H28" s="172">
        <v>3</v>
      </c>
      <c r="I28" s="172">
        <v>0.6</v>
      </c>
      <c r="J28" s="114"/>
    </row>
    <row r="29" spans="2:17" x14ac:dyDescent="0.25">
      <c r="B29" s="114" t="s">
        <v>145</v>
      </c>
      <c r="C29" s="170">
        <v>1.3450438699049401E-4</v>
      </c>
      <c r="D29" s="113" t="s">
        <v>199</v>
      </c>
      <c r="F29" s="114" t="s">
        <v>145</v>
      </c>
      <c r="G29" s="171">
        <v>74100</v>
      </c>
      <c r="H29" s="172">
        <v>3</v>
      </c>
      <c r="I29" s="172">
        <v>0.6</v>
      </c>
      <c r="J29" s="114"/>
    </row>
    <row r="30" spans="2:17" x14ac:dyDescent="0.25">
      <c r="B30" s="114" t="s">
        <v>146</v>
      </c>
      <c r="C30" s="170">
        <v>3.6036968416892283E-5</v>
      </c>
      <c r="D30" s="113" t="s">
        <v>200</v>
      </c>
      <c r="F30" s="114" t="s">
        <v>146</v>
      </c>
      <c r="G30" s="171">
        <v>56126.26334612057</v>
      </c>
      <c r="H30" s="172">
        <v>1</v>
      </c>
      <c r="I30" s="172">
        <v>0.1</v>
      </c>
      <c r="J30" s="114"/>
    </row>
    <row r="31" spans="2:17" x14ac:dyDescent="0.25">
      <c r="B31" s="114" t="s">
        <v>147</v>
      </c>
      <c r="C31" s="170">
        <v>2.6392697222457118E-2</v>
      </c>
      <c r="D31" s="113" t="s">
        <v>200</v>
      </c>
      <c r="F31" s="114" t="s">
        <v>147</v>
      </c>
      <c r="G31" s="171">
        <v>63100</v>
      </c>
      <c r="H31" s="172">
        <v>1</v>
      </c>
      <c r="I31" s="172">
        <v>0.1</v>
      </c>
      <c r="J31" s="114"/>
    </row>
    <row r="32" spans="2:17" ht="15" customHeight="1" x14ac:dyDescent="0.25">
      <c r="B32" s="112" t="s">
        <v>144</v>
      </c>
      <c r="C32" s="170">
        <v>1.1785939186739979E-4</v>
      </c>
      <c r="D32" s="113" t="s">
        <v>199</v>
      </c>
      <c r="F32" s="112" t="s">
        <v>144</v>
      </c>
      <c r="G32" s="171">
        <v>69300</v>
      </c>
      <c r="H32" s="172">
        <v>3</v>
      </c>
      <c r="I32" s="172">
        <v>0.6</v>
      </c>
      <c r="J32" s="114"/>
    </row>
    <row r="33" spans="2:13" x14ac:dyDescent="0.25">
      <c r="B33" s="114" t="s">
        <v>148</v>
      </c>
      <c r="C33" s="170">
        <v>9.0452414483100003E-5</v>
      </c>
      <c r="D33" s="113" t="s">
        <v>199</v>
      </c>
      <c r="F33" s="114" t="s">
        <v>148</v>
      </c>
      <c r="G33" s="173">
        <v>70800</v>
      </c>
      <c r="H33" s="174">
        <v>3</v>
      </c>
      <c r="I33" s="174">
        <v>0.6</v>
      </c>
      <c r="J33" s="114"/>
    </row>
    <row r="34" spans="2:13" x14ac:dyDescent="0.25">
      <c r="B34" s="151" t="s">
        <v>185</v>
      </c>
      <c r="F34" s="151" t="s">
        <v>186</v>
      </c>
    </row>
    <row r="35" spans="2:13" x14ac:dyDescent="0.25">
      <c r="F35" s="151" t="s">
        <v>187</v>
      </c>
    </row>
    <row r="36" spans="2:13" x14ac:dyDescent="0.25">
      <c r="B36" s="10" t="s">
        <v>164</v>
      </c>
      <c r="L36" s="277" t="s">
        <v>204</v>
      </c>
      <c r="M36" s="278"/>
    </row>
    <row r="37" spans="2:13" x14ac:dyDescent="0.25">
      <c r="B37" s="116" t="s">
        <v>155</v>
      </c>
      <c r="C37" s="116" t="s">
        <v>156</v>
      </c>
      <c r="D37" s="116" t="s">
        <v>157</v>
      </c>
      <c r="E37" s="116" t="s">
        <v>158</v>
      </c>
      <c r="L37" s="114">
        <v>1</v>
      </c>
      <c r="M37" s="114" t="s">
        <v>205</v>
      </c>
    </row>
    <row r="38" spans="2:13" ht="15.75" x14ac:dyDescent="0.25">
      <c r="B38" s="117" t="s">
        <v>159</v>
      </c>
      <c r="C38" s="175">
        <v>1</v>
      </c>
      <c r="D38" s="175">
        <v>1</v>
      </c>
      <c r="E38" s="175">
        <v>1</v>
      </c>
      <c r="L38" s="114">
        <v>3600</v>
      </c>
      <c r="M38" s="114" t="s">
        <v>206</v>
      </c>
    </row>
    <row r="39" spans="2:13" ht="15.75" x14ac:dyDescent="0.25">
      <c r="B39" s="117" t="s">
        <v>160</v>
      </c>
      <c r="C39" s="175">
        <v>21</v>
      </c>
      <c r="D39" s="175">
        <v>25</v>
      </c>
      <c r="E39" s="175">
        <v>30</v>
      </c>
      <c r="L39" s="192">
        <f>L38/1000</f>
        <v>3.6</v>
      </c>
      <c r="M39" s="114" t="s">
        <v>207</v>
      </c>
    </row>
    <row r="40" spans="2:13" ht="15" customHeight="1" x14ac:dyDescent="0.25">
      <c r="B40" s="117" t="s">
        <v>161</v>
      </c>
      <c r="C40" s="175">
        <v>310</v>
      </c>
      <c r="D40" s="175">
        <v>298</v>
      </c>
      <c r="E40" s="175">
        <v>265</v>
      </c>
    </row>
    <row r="41" spans="2:13" x14ac:dyDescent="0.25">
      <c r="B41" s="152" t="s">
        <v>162</v>
      </c>
      <c r="C41" s="118"/>
      <c r="D41" s="118"/>
      <c r="E41" s="118"/>
    </row>
    <row r="42" spans="2:13" x14ac:dyDescent="0.25">
      <c r="B42" s="153" t="s">
        <v>163</v>
      </c>
    </row>
  </sheetData>
  <mergeCells count="2">
    <mergeCell ref="O25:Q27"/>
    <mergeCell ref="L36:M36"/>
  </mergeCells>
  <hyperlinks>
    <hyperlink ref="D11" r:id="rId1" display="http://www.minem.gob.pe/minem/archivos/Capitulo 1 Balance e Indicadores 2017.pdf" xr:uid="{00000000-0004-0000-0500-000000000000}"/>
    <hyperlink ref="D10" r:id="rId2" display="http://www.minem.gob.pe/minem/archivos/Capitulo 1  Balance e Indicadores 2016.pdf" xr:uid="{00000000-0004-0000-0500-000001000000}"/>
    <hyperlink ref="D9" r:id="rId3" display="http://www.minem.gob.pe/minem/archivos/Capitulo 1 Indicadores FINAL.pdf" xr:uid="{00000000-0004-0000-0500-000002000000}"/>
    <hyperlink ref="D8" r:id="rId4" display="http://www.minem.gob.pe/minem/archivos/BALANCE E INDICADORES 2014.pdf" xr:uid="{00000000-0004-0000-0500-000003000000}"/>
    <hyperlink ref="D7" r:id="rId5" display="http://www.minem.gob.pe/minem/archivos/Capitulo 1  Balance y Principales Indicadores 2013.pdf" xr:uid="{00000000-0004-0000-0500-000004000000}"/>
    <hyperlink ref="D6" r:id="rId6" display="http://www.minem.gob.pe/minem/archivos/Capitulo 1  Balance y Principales Indicadores 2012.pdf" xr:uid="{00000000-0004-0000-0500-000005000000}"/>
    <hyperlink ref="D5" r:id="rId7" display="http://www.minem.gob.pe/minem/archivos/Cap_1_  Balance y Principales Indicadores 2011.pdf" xr:uid="{00000000-0004-0000-0500-000006000000}"/>
    <hyperlink ref="D4" r:id="rId8" display="http://www.minem.gob.pe/minem/archivos/Cap%C3%83%C2%ADtulo1_- Balance y Principales Indicadores El%C3%83%C2%A9ctricos 2010 (2).pdf" xr:uid="{00000000-0004-0000-0500-000007000000}"/>
    <hyperlink ref="B42" r:id="rId9" xr:uid="{00000000-0004-0000-0500-000008000000}"/>
  </hyperlinks>
  <pageMargins left="0.7" right="0.7" top="0.75" bottom="0.75" header="0.3" footer="0.3"/>
  <pageSetup orientation="portrait" r:id="rId10"/>
  <legacy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General</vt:lpstr>
      <vt:lpstr>Proveedores</vt:lpstr>
      <vt:lpstr>Formato</vt:lpstr>
      <vt:lpstr>Formato 2</vt:lpstr>
      <vt:lpstr>Factores 2</vt:lpstr>
      <vt:lpstr>Variables</vt:lpstr>
      <vt:lpstr>Desplegable</vt:lpstr>
      <vt:lpstr>Factores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MRV</dc:creator>
  <cp:lastModifiedBy>Pc</cp:lastModifiedBy>
  <dcterms:created xsi:type="dcterms:W3CDTF">2019-07-22T14:17:44Z</dcterms:created>
  <dcterms:modified xsi:type="dcterms:W3CDTF">2020-12-09T03:40:32Z</dcterms:modified>
</cp:coreProperties>
</file>