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Users\aled_\OneDrive\Desktop\Plataforma MRV\Pruebas\"/>
    </mc:Choice>
  </mc:AlternateContent>
  <xr:revisionPtr revIDLastSave="549" documentId="13_ncr:1_{D2AE55B7-E0EA-41DF-A5C7-A3099EDA6287}" xr6:coauthVersionLast="44" xr6:coauthVersionMax="45" xr10:uidLastSave="{9377B0C9-50EC-4C42-9413-21A1CDDAA354}"/>
  <bookViews>
    <workbookView xWindow="-108" yWindow="-108" windowWidth="23256" windowHeight="12576" activeTab="2" xr2:uid="{00000000-000D-0000-FFFF-FFFF00000000}"/>
  </bookViews>
  <sheets>
    <sheet name="General" sheetId="3" r:id="rId1"/>
    <sheet name="Proveedores" sheetId="2" r:id="rId2"/>
    <sheet name="Formato" sheetId="1" r:id="rId3"/>
    <sheet name="Variables" sheetId="4" r:id="rId4"/>
    <sheet name="Factores" sheetId="5" r:id="rId5"/>
  </sheets>
  <externalReferences>
    <externalReference r:id="rId6"/>
    <externalReference r:id="rId7"/>
    <externalReference r:id="rId8"/>
    <externalReference r:id="rId9"/>
    <externalReference r:id="rId10"/>
  </externalReferences>
  <definedNames>
    <definedName name="_ftn1" localSheetId="1">Proveedores!#REF!</definedName>
    <definedName name="_ftn2" localSheetId="1">Proveedores!#REF!</definedName>
    <definedName name="_ftnref1" localSheetId="1">Proveedores!#REF!</definedName>
    <definedName name="_ftnref2" localSheetId="1">Proveedores!#REF!</definedName>
    <definedName name="_Hlk511018708" localSheetId="1">Proveedores!$B$13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125" i="1" l="1"/>
  <c r="M124" i="1"/>
  <c r="M123" i="1"/>
  <c r="M122" i="1"/>
  <c r="M121" i="1"/>
  <c r="M120" i="1"/>
  <c r="M126" i="1"/>
  <c r="N110" i="1"/>
  <c r="N109" i="1"/>
  <c r="N108" i="1"/>
  <c r="N107" i="1"/>
  <c r="N106" i="1"/>
  <c r="N105" i="1"/>
  <c r="M96" i="1"/>
  <c r="M95" i="1"/>
  <c r="M94" i="1"/>
  <c r="M93" i="1"/>
  <c r="M92" i="1"/>
  <c r="M91" i="1"/>
  <c r="M83" i="1"/>
  <c r="M82" i="1"/>
  <c r="M81" i="1"/>
  <c r="M80" i="1"/>
  <c r="M79" i="1"/>
  <c r="M78" i="1"/>
  <c r="H81" i="1"/>
  <c r="O56" i="1"/>
  <c r="N43" i="1"/>
  <c r="O31" i="1"/>
  <c r="O32" i="1"/>
  <c r="O36" i="1"/>
  <c r="O35" i="1"/>
  <c r="O34" i="1"/>
  <c r="O33" i="1"/>
  <c r="N22" i="1" l="1"/>
  <c r="N23" i="1"/>
  <c r="N24" i="1"/>
  <c r="N21" i="1"/>
  <c r="N20" i="1"/>
  <c r="N19" i="1"/>
  <c r="H118" i="1" l="1"/>
  <c r="I103" i="1"/>
  <c r="I102" i="1"/>
  <c r="H90" i="1"/>
  <c r="H89" i="1"/>
  <c r="H78" i="1"/>
  <c r="I43" i="1"/>
  <c r="J32" i="1"/>
  <c r="J31" i="1"/>
  <c r="I17" i="1"/>
  <c r="P75" i="4"/>
  <c r="P76" i="4"/>
  <c r="P77" i="4"/>
  <c r="P78" i="4"/>
  <c r="P79" i="4"/>
  <c r="P80" i="4"/>
  <c r="P74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46" i="4"/>
  <c r="AO13" i="4"/>
  <c r="AO14" i="4" s="1"/>
  <c r="AO15" i="4" s="1"/>
  <c r="AO16" i="4" s="1"/>
  <c r="AO17" i="4" s="1"/>
  <c r="AO18" i="4" s="1"/>
  <c r="AI13" i="4"/>
  <c r="AI14" i="4" s="1"/>
  <c r="AI15" i="4" s="1"/>
  <c r="AI16" i="4" s="1"/>
  <c r="AI17" i="4" s="1"/>
  <c r="AI18" i="4" s="1"/>
  <c r="AC13" i="4"/>
  <c r="AC14" i="4" s="1"/>
  <c r="AC15" i="4" s="1"/>
  <c r="AC16" i="4" s="1"/>
  <c r="AC17" i="4" s="1"/>
  <c r="AC18" i="4" s="1"/>
  <c r="W13" i="4"/>
  <c r="W14" i="4" s="1"/>
  <c r="W15" i="4" s="1"/>
  <c r="W16" i="4" s="1"/>
  <c r="W17" i="4" s="1"/>
  <c r="W18" i="4" s="1"/>
  <c r="Q13" i="4"/>
  <c r="Q14" i="4" s="1"/>
  <c r="Q15" i="4" s="1"/>
  <c r="Q16" i="4" s="1"/>
  <c r="Q17" i="4" s="1"/>
  <c r="Q18" i="4" s="1"/>
  <c r="K13" i="4"/>
  <c r="K14" i="4" s="1"/>
  <c r="K15" i="4" s="1"/>
  <c r="K16" i="4" s="1"/>
  <c r="K17" i="4" s="1"/>
  <c r="K18" i="4" s="1"/>
  <c r="I11" i="1" l="1"/>
  <c r="I10" i="1"/>
  <c r="I9" i="1"/>
  <c r="I8" i="1"/>
  <c r="I7" i="1"/>
  <c r="I6" i="1"/>
  <c r="C8" i="5" l="1"/>
  <c r="Q6" i="5" l="1"/>
  <c r="Q5" i="5"/>
  <c r="Q4" i="5"/>
  <c r="Q7" i="5" l="1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M89" i="1" s="1"/>
  <c r="F159" i="4"/>
  <c r="F158" i="4"/>
  <c r="F157" i="4"/>
  <c r="F156" i="4"/>
  <c r="F155" i="4"/>
  <c r="E170" i="4"/>
  <c r="E171" i="4" s="1"/>
  <c r="E172" i="4" s="1"/>
  <c r="E173" i="4" s="1"/>
  <c r="E174" i="4" s="1"/>
  <c r="E175" i="4" s="1"/>
  <c r="E163" i="4"/>
  <c r="E164" i="4" s="1"/>
  <c r="E165" i="4" s="1"/>
  <c r="E166" i="4" s="1"/>
  <c r="E167" i="4" s="1"/>
  <c r="E168" i="4" s="1"/>
  <c r="E156" i="4"/>
  <c r="E157" i="4" s="1"/>
  <c r="E158" i="4" s="1"/>
  <c r="E159" i="4" s="1"/>
  <c r="E160" i="4" s="1"/>
  <c r="E161" i="4" s="1"/>
  <c r="O114" i="4"/>
  <c r="O115" i="4"/>
  <c r="O116" i="4"/>
  <c r="O117" i="4"/>
  <c r="O118" i="4"/>
  <c r="O119" i="4"/>
  <c r="O120" i="4"/>
  <c r="Q8" i="5" l="1"/>
  <c r="M118" i="1" s="1"/>
  <c r="O100" i="4"/>
  <c r="O99" i="4"/>
  <c r="O98" i="4"/>
  <c r="O97" i="4"/>
  <c r="O96" i="4"/>
  <c r="O95" i="4"/>
  <c r="O94" i="4"/>
  <c r="O93" i="4"/>
  <c r="O92" i="4"/>
  <c r="O91" i="4"/>
  <c r="O90" i="4"/>
  <c r="O89" i="4"/>
  <c r="O88" i="4"/>
  <c r="O87" i="4"/>
  <c r="N100" i="4"/>
  <c r="N99" i="4"/>
  <c r="N98" i="4"/>
  <c r="N97" i="4"/>
  <c r="N96" i="4"/>
  <c r="N95" i="4"/>
  <c r="N94" i="4"/>
  <c r="N93" i="4"/>
  <c r="N92" i="4"/>
  <c r="N91" i="4"/>
  <c r="N90" i="4"/>
  <c r="N89" i="4"/>
  <c r="N88" i="4"/>
  <c r="N87" i="4"/>
  <c r="J93" i="4"/>
  <c r="J92" i="4"/>
  <c r="J91" i="4"/>
  <c r="J90" i="4"/>
  <c r="J89" i="4"/>
  <c r="J88" i="4"/>
  <c r="J87" i="4"/>
  <c r="I93" i="4"/>
  <c r="I92" i="4"/>
  <c r="I91" i="4"/>
  <c r="I90" i="4"/>
  <c r="I89" i="4"/>
  <c r="I88" i="4"/>
  <c r="I87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E102" i="4"/>
  <c r="E103" i="4" s="1"/>
  <c r="E104" i="4" s="1"/>
  <c r="E105" i="4" s="1"/>
  <c r="E106" i="4" s="1"/>
  <c r="E107" i="4" s="1"/>
  <c r="E95" i="4"/>
  <c r="E96" i="4" s="1"/>
  <c r="E97" i="4" s="1"/>
  <c r="E98" i="4" s="1"/>
  <c r="E99" i="4" s="1"/>
  <c r="E100" i="4" s="1"/>
  <c r="E88" i="4"/>
  <c r="E89" i="4" s="1"/>
  <c r="E90" i="4" s="1"/>
  <c r="E91" i="4" s="1"/>
  <c r="E92" i="4" s="1"/>
  <c r="E93" i="4" s="1"/>
  <c r="M90" i="1" l="1"/>
  <c r="Q9" i="5"/>
  <c r="AQ39" i="4" l="1"/>
  <c r="AQ38" i="4"/>
  <c r="AQ37" i="4"/>
  <c r="AQ36" i="4"/>
  <c r="AQ35" i="4"/>
  <c r="AQ34" i="4"/>
  <c r="AQ33" i="4"/>
  <c r="AQ32" i="4"/>
  <c r="AQ31" i="4"/>
  <c r="AQ30" i="4"/>
  <c r="AQ29" i="4"/>
  <c r="AQ28" i="4"/>
  <c r="AQ27" i="4"/>
  <c r="AQ26" i="4"/>
  <c r="AQ25" i="4"/>
  <c r="AQ24" i="4"/>
  <c r="AQ23" i="4"/>
  <c r="AQ22" i="4"/>
  <c r="AQ21" i="4"/>
  <c r="AQ20" i="4"/>
  <c r="AQ19" i="4"/>
  <c r="AQ18" i="4"/>
  <c r="AQ17" i="4"/>
  <c r="AQ16" i="4"/>
  <c r="AQ15" i="4"/>
  <c r="AQ14" i="4"/>
  <c r="AQ13" i="4"/>
  <c r="AQ12" i="4"/>
  <c r="AK39" i="4"/>
  <c r="AK38" i="4"/>
  <c r="AK37" i="4"/>
  <c r="AK36" i="4"/>
  <c r="AK35" i="4"/>
  <c r="AK34" i="4"/>
  <c r="AK33" i="4"/>
  <c r="AK32" i="4"/>
  <c r="AK31" i="4"/>
  <c r="AK30" i="4"/>
  <c r="AK29" i="4"/>
  <c r="AK28" i="4"/>
  <c r="AK27" i="4"/>
  <c r="AK26" i="4"/>
  <c r="AK25" i="4"/>
  <c r="AK24" i="4"/>
  <c r="AK23" i="4"/>
  <c r="AK22" i="4"/>
  <c r="AK21" i="4"/>
  <c r="AK20" i="4"/>
  <c r="AK19" i="4"/>
  <c r="AK18" i="4"/>
  <c r="AK17" i="4"/>
  <c r="AK16" i="4"/>
  <c r="AK15" i="4"/>
  <c r="AK14" i="4"/>
  <c r="AK13" i="4"/>
  <c r="AK12" i="4"/>
  <c r="AE39" i="4"/>
  <c r="AE38" i="4"/>
  <c r="AE37" i="4"/>
  <c r="AE36" i="4"/>
  <c r="AE35" i="4"/>
  <c r="AE34" i="4"/>
  <c r="AE33" i="4"/>
  <c r="AE32" i="4"/>
  <c r="AE31" i="4"/>
  <c r="AE30" i="4"/>
  <c r="AE29" i="4"/>
  <c r="AE28" i="4"/>
  <c r="AE27" i="4"/>
  <c r="AE26" i="4"/>
  <c r="AE25" i="4"/>
  <c r="AE24" i="4"/>
  <c r="AE23" i="4"/>
  <c r="AE22" i="4"/>
  <c r="AE21" i="4"/>
  <c r="AE20" i="4"/>
  <c r="AE19" i="4"/>
  <c r="AE18" i="4"/>
  <c r="AE17" i="4"/>
  <c r="AE16" i="4"/>
  <c r="AE15" i="4"/>
  <c r="AE14" i="4"/>
  <c r="AE13" i="4"/>
  <c r="AE12" i="4"/>
  <c r="Y39" i="4"/>
  <c r="Y38" i="4"/>
  <c r="Y37" i="4"/>
  <c r="Y36" i="4"/>
  <c r="Y35" i="4"/>
  <c r="Y34" i="4"/>
  <c r="Y33" i="4"/>
  <c r="Y32" i="4"/>
  <c r="Y31" i="4"/>
  <c r="Y30" i="4"/>
  <c r="Y29" i="4"/>
  <c r="Y28" i="4"/>
  <c r="Y27" i="4"/>
  <c r="Y26" i="4"/>
  <c r="Y25" i="4"/>
  <c r="Y24" i="4"/>
  <c r="Y23" i="4"/>
  <c r="Y22" i="4"/>
  <c r="Y21" i="4"/>
  <c r="Y20" i="4"/>
  <c r="Y19" i="4"/>
  <c r="Y18" i="4"/>
  <c r="Y17" i="4"/>
  <c r="Y16" i="4"/>
  <c r="Y15" i="4"/>
  <c r="Y14" i="4"/>
  <c r="Y13" i="4"/>
  <c r="Y12" i="4"/>
  <c r="S39" i="4"/>
  <c r="S38" i="4"/>
  <c r="S37" i="4"/>
  <c r="S36" i="4"/>
  <c r="S35" i="4"/>
  <c r="S34" i="4"/>
  <c r="S33" i="4"/>
  <c r="S32" i="4"/>
  <c r="S31" i="4"/>
  <c r="S30" i="4"/>
  <c r="S29" i="4"/>
  <c r="S28" i="4"/>
  <c r="S27" i="4"/>
  <c r="S26" i="4"/>
  <c r="S25" i="4"/>
  <c r="S24" i="4"/>
  <c r="S23" i="4"/>
  <c r="S22" i="4"/>
  <c r="S21" i="4"/>
  <c r="S20" i="4"/>
  <c r="S19" i="4"/>
  <c r="S18" i="4"/>
  <c r="S17" i="4"/>
  <c r="S16" i="4"/>
  <c r="S15" i="4"/>
  <c r="S14" i="4"/>
  <c r="S13" i="4"/>
  <c r="S12" i="4"/>
  <c r="R4" i="4"/>
  <c r="R5" i="4"/>
  <c r="R6" i="4"/>
  <c r="R7" i="4"/>
  <c r="R8" i="4"/>
  <c r="T222" i="4"/>
  <c r="T223" i="4"/>
  <c r="T224" i="4"/>
  <c r="T299" i="4"/>
  <c r="U299" i="4"/>
  <c r="T300" i="4"/>
  <c r="U300" i="4"/>
  <c r="T301" i="4"/>
  <c r="U301" i="4"/>
  <c r="T302" i="4"/>
  <c r="U302" i="4"/>
  <c r="T303" i="4"/>
  <c r="U303" i="4"/>
  <c r="T304" i="4"/>
  <c r="U304" i="4"/>
  <c r="T305" i="4"/>
  <c r="U305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N11" i="1" l="1"/>
  <c r="N7" i="1"/>
  <c r="N9" i="1"/>
  <c r="N10" i="1"/>
  <c r="N6" i="1"/>
  <c r="N8" i="1"/>
  <c r="V303" i="4"/>
  <c r="V299" i="4"/>
  <c r="V302" i="4"/>
  <c r="V304" i="4"/>
  <c r="V301" i="4"/>
  <c r="V305" i="4"/>
  <c r="V300" i="4"/>
  <c r="N18" i="4"/>
  <c r="E13" i="4" l="1"/>
  <c r="E14" i="4" s="1"/>
  <c r="E15" i="4" s="1"/>
  <c r="E16" i="4" s="1"/>
  <c r="E17" i="4" s="1"/>
  <c r="E18" i="4" s="1"/>
  <c r="G238" i="4" l="1"/>
  <c r="G239" i="4"/>
  <c r="G237" i="4"/>
  <c r="F237" i="4"/>
  <c r="I237" i="4" s="1"/>
  <c r="L186" i="4"/>
  <c r="F238" i="4" l="1"/>
  <c r="I238" i="4" s="1"/>
  <c r="F239" i="4" l="1"/>
  <c r="I239" i="4" s="1"/>
  <c r="I29" i="5" l="1"/>
  <c r="H29" i="5"/>
  <c r="G29" i="5"/>
  <c r="D29" i="5"/>
  <c r="C29" i="5"/>
  <c r="C31" i="5" s="1"/>
  <c r="I28" i="5"/>
  <c r="H28" i="5"/>
  <c r="G28" i="5"/>
  <c r="D28" i="5"/>
  <c r="C28" i="5"/>
  <c r="C30" i="5" s="1"/>
  <c r="O61" i="1" l="1"/>
  <c r="P60" i="1"/>
  <c r="P63" i="1"/>
  <c r="O63" i="1"/>
  <c r="P61" i="1"/>
  <c r="O60" i="1"/>
  <c r="O57" i="1"/>
  <c r="O59" i="1" s="1"/>
  <c r="P57" i="1"/>
  <c r="Q57" i="1"/>
  <c r="Q59" i="1" s="1"/>
  <c r="Q56" i="1"/>
  <c r="Q58" i="1" s="1"/>
  <c r="Q60" i="1"/>
  <c r="Q62" i="1"/>
  <c r="Q61" i="1"/>
  <c r="P56" i="1"/>
  <c r="P58" i="1" s="1"/>
  <c r="P62" i="1"/>
  <c r="Q63" i="1"/>
  <c r="O62" i="1"/>
  <c r="M84" i="1"/>
  <c r="AR39" i="4"/>
  <c r="AR38" i="4"/>
  <c r="AR37" i="4"/>
  <c r="AR36" i="4"/>
  <c r="AR35" i="4"/>
  <c r="AR34" i="4"/>
  <c r="AR32" i="4"/>
  <c r="AR31" i="4"/>
  <c r="AR30" i="4"/>
  <c r="AR29" i="4"/>
  <c r="AR28" i="4"/>
  <c r="AR27" i="4"/>
  <c r="AR25" i="4"/>
  <c r="AR24" i="4"/>
  <c r="AR23" i="4"/>
  <c r="AR22" i="4"/>
  <c r="AR21" i="4"/>
  <c r="AR20" i="4"/>
  <c r="AR18" i="4"/>
  <c r="AR17" i="4"/>
  <c r="AR16" i="4"/>
  <c r="AR15" i="4"/>
  <c r="AR14" i="4"/>
  <c r="AR13" i="4"/>
  <c r="AL39" i="4"/>
  <c r="AL38" i="4"/>
  <c r="AL37" i="4"/>
  <c r="AL36" i="4"/>
  <c r="AL35" i="4"/>
  <c r="AL34" i="4"/>
  <c r="AL32" i="4"/>
  <c r="AL31" i="4"/>
  <c r="AL30" i="4"/>
  <c r="AL29" i="4"/>
  <c r="AL28" i="4"/>
  <c r="AL27" i="4"/>
  <c r="AL25" i="4"/>
  <c r="AL24" i="4"/>
  <c r="AL23" i="4"/>
  <c r="AL22" i="4"/>
  <c r="AL21" i="4"/>
  <c r="AL20" i="4"/>
  <c r="AL18" i="4"/>
  <c r="AL17" i="4"/>
  <c r="AL16" i="4"/>
  <c r="AL15" i="4"/>
  <c r="AL14" i="4"/>
  <c r="AL13" i="4"/>
  <c r="AF39" i="4"/>
  <c r="AF38" i="4"/>
  <c r="AF37" i="4"/>
  <c r="AF36" i="4"/>
  <c r="AF35" i="4"/>
  <c r="AF34" i="4"/>
  <c r="AF32" i="4"/>
  <c r="AF31" i="4"/>
  <c r="AF30" i="4"/>
  <c r="AF29" i="4"/>
  <c r="AF28" i="4"/>
  <c r="AF27" i="4"/>
  <c r="AF25" i="4"/>
  <c r="AF24" i="4"/>
  <c r="AF23" i="4"/>
  <c r="AF22" i="4"/>
  <c r="AF21" i="4"/>
  <c r="AF20" i="4"/>
  <c r="AF18" i="4"/>
  <c r="AF17" i="4"/>
  <c r="AF16" i="4"/>
  <c r="AF15" i="4"/>
  <c r="AF14" i="4"/>
  <c r="AF13" i="4"/>
  <c r="Z39" i="4"/>
  <c r="Z38" i="4"/>
  <c r="Z37" i="4"/>
  <c r="Z36" i="4"/>
  <c r="Z35" i="4"/>
  <c r="Z34" i="4"/>
  <c r="Z32" i="4"/>
  <c r="Z31" i="4"/>
  <c r="Z30" i="4"/>
  <c r="Z29" i="4"/>
  <c r="Z28" i="4"/>
  <c r="Z27" i="4"/>
  <c r="Z25" i="4"/>
  <c r="Z24" i="4"/>
  <c r="Z23" i="4"/>
  <c r="Z22" i="4"/>
  <c r="Z21" i="4"/>
  <c r="Z20" i="4"/>
  <c r="Z18" i="4"/>
  <c r="Z17" i="4"/>
  <c r="Z16" i="4"/>
  <c r="Z15" i="4"/>
  <c r="Z14" i="4"/>
  <c r="Z13" i="4"/>
  <c r="T39" i="4"/>
  <c r="T38" i="4"/>
  <c r="T37" i="4"/>
  <c r="T36" i="4"/>
  <c r="T35" i="4"/>
  <c r="T34" i="4"/>
  <c r="T32" i="4"/>
  <c r="T31" i="4"/>
  <c r="T30" i="4"/>
  <c r="T29" i="4"/>
  <c r="T28" i="4"/>
  <c r="T27" i="4"/>
  <c r="T25" i="4"/>
  <c r="T24" i="4"/>
  <c r="T23" i="4"/>
  <c r="T22" i="4"/>
  <c r="T21" i="4"/>
  <c r="T20" i="4"/>
  <c r="T18" i="4"/>
  <c r="T17" i="4"/>
  <c r="T16" i="4"/>
  <c r="T15" i="4"/>
  <c r="T14" i="4"/>
  <c r="T13" i="4"/>
  <c r="N39" i="4"/>
  <c r="N38" i="4"/>
  <c r="N37" i="4"/>
  <c r="N36" i="4"/>
  <c r="N35" i="4"/>
  <c r="N34" i="4"/>
  <c r="N32" i="4"/>
  <c r="N31" i="4"/>
  <c r="N30" i="4"/>
  <c r="N29" i="4"/>
  <c r="N28" i="4"/>
  <c r="N27" i="4"/>
  <c r="N25" i="4"/>
  <c r="N24" i="4"/>
  <c r="N23" i="4"/>
  <c r="N22" i="4"/>
  <c r="N21" i="4"/>
  <c r="N20" i="4"/>
  <c r="N17" i="4"/>
  <c r="N16" i="4"/>
  <c r="N15" i="4"/>
  <c r="N14" i="4"/>
  <c r="N13" i="4"/>
  <c r="R62" i="1" l="1"/>
  <c r="S62" i="1" s="1"/>
  <c r="R58" i="1"/>
  <c r="R61" i="1"/>
  <c r="S61" i="1" s="1"/>
  <c r="P59" i="1"/>
  <c r="R59" i="1" s="1"/>
  <c r="S59" i="1" s="1"/>
  <c r="R57" i="1"/>
  <c r="S57" i="1" s="1"/>
  <c r="R63" i="1"/>
  <c r="S63" i="1" s="1"/>
  <c r="O58" i="1"/>
  <c r="O67" i="1" s="1"/>
  <c r="O65" i="1"/>
  <c r="R60" i="1"/>
  <c r="S60" i="1" s="1"/>
  <c r="R56" i="1"/>
  <c r="S56" i="1" s="1"/>
  <c r="H13" i="4"/>
  <c r="O68" i="1" l="1"/>
  <c r="S58" i="1"/>
  <c r="O66" i="1"/>
  <c r="C12" i="5"/>
  <c r="N102" i="1" l="1"/>
  <c r="N17" i="1"/>
  <c r="N103" i="1"/>
  <c r="L187" i="4"/>
  <c r="L188" i="4"/>
  <c r="L189" i="4"/>
  <c r="L190" i="4"/>
  <c r="L191" i="4"/>
  <c r="L192" i="4"/>
  <c r="H39" i="4" l="1"/>
  <c r="H38" i="4"/>
  <c r="H37" i="4"/>
  <c r="H36" i="4"/>
  <c r="H35" i="4"/>
  <c r="H34" i="4"/>
  <c r="H32" i="4"/>
  <c r="H31" i="4"/>
  <c r="H30" i="4"/>
  <c r="H29" i="4"/>
  <c r="H28" i="4"/>
  <c r="H27" i="4"/>
  <c r="H25" i="4"/>
  <c r="H24" i="4"/>
  <c r="H23" i="4"/>
  <c r="H22" i="4"/>
  <c r="H21" i="4"/>
  <c r="H20" i="4"/>
  <c r="H18" i="4"/>
  <c r="H17" i="4"/>
  <c r="H16" i="4"/>
  <c r="H15" i="4"/>
  <c r="H1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MRV</author>
  </authors>
  <commentList>
    <comment ref="I4" authorId="0" shapeId="0" xr:uid="{00000000-0006-0000-0200-000001000000}">
      <text>
        <r>
          <rPr>
            <sz val="9"/>
            <color indexed="81"/>
            <rFont val="Tahoma"/>
            <family val="2"/>
          </rPr>
          <t>Debería ser automático</t>
        </r>
      </text>
    </comment>
    <comment ref="I15" authorId="0" shapeId="0" xr:uid="{00000000-0006-0000-0200-000002000000}">
      <text>
        <r>
          <rPr>
            <sz val="9"/>
            <color indexed="81"/>
            <rFont val="Tahoma"/>
            <family val="2"/>
          </rPr>
          <t>Debería ser automático</t>
        </r>
      </text>
    </comment>
    <comment ref="J29" authorId="0" shapeId="0" xr:uid="{00000000-0006-0000-0200-000003000000}">
      <text>
        <r>
          <rPr>
            <sz val="9"/>
            <color indexed="81"/>
            <rFont val="Tahoma"/>
            <family val="2"/>
          </rPr>
          <t>Debería ser automático</t>
        </r>
      </text>
    </comment>
    <comment ref="I41" authorId="0" shapeId="0" xr:uid="{00000000-0006-0000-0200-000004000000}">
      <text>
        <r>
          <rPr>
            <sz val="9"/>
            <color indexed="81"/>
            <rFont val="Tahoma"/>
            <family val="2"/>
          </rPr>
          <t>Debería ser automático</t>
        </r>
      </text>
    </comment>
    <comment ref="J54" authorId="0" shapeId="0" xr:uid="{00000000-0006-0000-0200-000005000000}">
      <text>
        <r>
          <rPr>
            <sz val="9"/>
            <color indexed="81"/>
            <rFont val="Tahoma"/>
            <family val="2"/>
          </rPr>
          <t>Debería ser automático</t>
        </r>
      </text>
    </comment>
    <comment ref="H76" authorId="0" shapeId="0" xr:uid="{00000000-0006-0000-0200-000006000000}">
      <text>
        <r>
          <rPr>
            <sz val="9"/>
            <color indexed="81"/>
            <rFont val="Tahoma"/>
            <family val="2"/>
          </rPr>
          <t>Debería ser automático</t>
        </r>
      </text>
    </comment>
    <comment ref="H87" authorId="0" shapeId="0" xr:uid="{00000000-0006-0000-0200-000007000000}">
      <text>
        <r>
          <rPr>
            <sz val="9"/>
            <color indexed="81"/>
            <rFont val="Tahoma"/>
            <family val="2"/>
          </rPr>
          <t>Debería ser automático</t>
        </r>
      </text>
    </comment>
    <comment ref="I100" authorId="0" shapeId="0" xr:uid="{00000000-0006-0000-0200-000008000000}">
      <text>
        <r>
          <rPr>
            <sz val="9"/>
            <color indexed="81"/>
            <rFont val="Tahoma"/>
            <family val="2"/>
          </rPr>
          <t>Debería ser automático</t>
        </r>
      </text>
    </comment>
    <comment ref="H116" authorId="0" shapeId="0" xr:uid="{00000000-0006-0000-0200-000009000000}">
      <text>
        <r>
          <rPr>
            <sz val="9"/>
            <color indexed="81"/>
            <rFont val="Tahoma"/>
            <family val="2"/>
          </rPr>
          <t>Debería ser automático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MRV</author>
  </authors>
  <commentList>
    <comment ref="G11" authorId="0" shapeId="0" xr:uid="{00000000-0006-0000-0300-000001000000}">
      <text>
        <r>
          <rPr>
            <sz val="9"/>
            <color indexed="81"/>
            <rFont val="Tahoma"/>
            <family val="2"/>
          </rPr>
          <t>Diferencia, en relación al anterior, en volumen equivalente</t>
        </r>
      </text>
    </comment>
    <comment ref="M11" authorId="0" shapeId="0" xr:uid="{00000000-0006-0000-0300-000002000000}">
      <text>
        <r>
          <rPr>
            <sz val="9"/>
            <color indexed="81"/>
            <rFont val="Tahoma"/>
            <family val="2"/>
          </rPr>
          <t>Diferencia, en relación al anterior, en volumen equivalente</t>
        </r>
      </text>
    </comment>
    <comment ref="H181" authorId="0" shapeId="0" xr:uid="{00000000-0006-0000-0300-000003000000}">
      <text>
        <r>
          <rPr>
            <sz val="9"/>
            <color indexed="81"/>
            <rFont val="Tahoma"/>
            <family val="2"/>
          </rPr>
          <t>Asumiendo un uso horario de 8 horas</t>
        </r>
      </text>
    </comment>
    <comment ref="E221" authorId="0" shapeId="0" xr:uid="{00000000-0006-0000-0300-000004000000}">
      <text>
        <r>
          <rPr>
            <sz val="9"/>
            <color indexed="81"/>
            <rFont val="Tahoma"/>
            <family val="2"/>
          </rPr>
          <t>Faltan datos para potencias de: 30, 40, 50, 60, 75, 100, 125, 150, 200, 250, 300, 400 y 500.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MRV</author>
  </authors>
  <commentList>
    <comment ref="D8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5.8%</t>
        </r>
      </text>
    </comment>
  </commentList>
</comments>
</file>

<file path=xl/sharedStrings.xml><?xml version="1.0" encoding="utf-8"?>
<sst xmlns="http://schemas.openxmlformats.org/spreadsheetml/2006/main" count="1780" uniqueCount="320">
  <si>
    <t>1.1. Medida de Etiquetado de Eficiencia energética</t>
  </si>
  <si>
    <t>PROVEEDORES</t>
  </si>
  <si>
    <t>INDICADORES</t>
  </si>
  <si>
    <t>Diseño detallado</t>
  </si>
  <si>
    <t>Programación Tentativa Sectorial</t>
  </si>
  <si>
    <t>Equipo</t>
  </si>
  <si>
    <t>Línea base</t>
  </si>
  <si>
    <t>Implementación</t>
  </si>
  <si>
    <t>1. Encuestas</t>
  </si>
  <si>
    <t>1. Fabricantes/importadores</t>
  </si>
  <si>
    <r>
      <t xml:space="preserve">Tipo </t>
    </r>
    <r>
      <rPr>
        <sz val="11"/>
        <color theme="1"/>
        <rFont val="Calibri"/>
        <family val="2"/>
        <scheme val="minor"/>
      </rPr>
      <t>(si aplica)</t>
    </r>
  </si>
  <si>
    <t>Etiqueta</t>
  </si>
  <si>
    <r>
      <t xml:space="preserve">Potencia </t>
    </r>
    <r>
      <rPr>
        <sz val="11"/>
        <color theme="1"/>
        <rFont val="Calibri"/>
        <family val="2"/>
        <scheme val="minor"/>
      </rPr>
      <t>(W)</t>
    </r>
  </si>
  <si>
    <r>
      <t xml:space="preserve">Funcionamiento
</t>
    </r>
    <r>
      <rPr>
        <sz val="11"/>
        <color theme="1"/>
        <rFont val="Calibri"/>
        <family val="2"/>
        <scheme val="minor"/>
      </rPr>
      <t>(horas.año)</t>
    </r>
  </si>
  <si>
    <t>2. Estudio de mercado</t>
  </si>
  <si>
    <t>2. Consumidores</t>
  </si>
  <si>
    <t>Refrigeradora</t>
  </si>
  <si>
    <t>3. Aduanas-SUNAT</t>
  </si>
  <si>
    <t>3. Aduanas SUNAT</t>
  </si>
  <si>
    <t>Lavadora</t>
  </si>
  <si>
    <t>Camara de Comercio de Lima</t>
  </si>
  <si>
    <t>Secadora</t>
  </si>
  <si>
    <t>Sello</t>
  </si>
  <si>
    <t>Calentador de agua</t>
  </si>
  <si>
    <t>Linea de financiamiento</t>
  </si>
  <si>
    <t>Aire acondicionado</t>
  </si>
  <si>
    <t>Etapa</t>
  </si>
  <si>
    <t>Información</t>
  </si>
  <si>
    <t>Fuente</t>
  </si>
  <si>
    <t>Responsable</t>
  </si>
  <si>
    <t>Frecuencia</t>
  </si>
  <si>
    <t>¿Requiere acuerdo?</t>
  </si>
  <si>
    <t>Motor eléctrico</t>
  </si>
  <si>
    <t>Etiquetado de Eficiencia Energética</t>
  </si>
  <si>
    <t>Caldera</t>
  </si>
  <si>
    <t>M</t>
  </si>
  <si>
    <t>Efecto del etiquetado de eficiencia energética en la reducción del consumo</t>
  </si>
  <si>
    <t>Encuesta</t>
  </si>
  <si>
    <t>DGEE / INEI deben diseñar y realizar las encuestas</t>
  </si>
  <si>
    <t>Bienal</t>
  </si>
  <si>
    <t>Si, entre DGEE e INEI para las encuestas</t>
  </si>
  <si>
    <t>R</t>
  </si>
  <si>
    <t>Resultados de las encuestas. INEI / DGEE</t>
  </si>
  <si>
    <t>DGEE debe vaciar la información en la herramienta de medición</t>
  </si>
  <si>
    <t>No</t>
  </si>
  <si>
    <t>V</t>
  </si>
  <si>
    <t>Reportes generados por DGEE, resultados de encuestas, procedimientos de medición, otra información de soporte</t>
  </si>
  <si>
    <t>DGEE</t>
  </si>
  <si>
    <t>Auditor externo</t>
  </si>
  <si>
    <t>Cada 3 años o según lo demanden algunas autoridades o donantes</t>
  </si>
  <si>
    <t xml:space="preserve">No </t>
  </si>
  <si>
    <t>Institución</t>
  </si>
  <si>
    <t>Tipo</t>
  </si>
  <si>
    <t>Dónde:</t>
  </si>
  <si>
    <r>
      <t>ER</t>
    </r>
    <r>
      <rPr>
        <vertAlign val="subscript"/>
        <sz val="11"/>
        <rFont val="Arial"/>
        <family val="2"/>
      </rPr>
      <t>y</t>
    </r>
  </si>
  <si>
    <r>
      <t xml:space="preserve">Reducción de emisiones en el año </t>
    </r>
    <r>
      <rPr>
        <i/>
        <sz val="11"/>
        <rFont val="Arial"/>
        <family val="2"/>
      </rPr>
      <t>y</t>
    </r>
    <r>
      <rPr>
        <sz val="11"/>
        <rFont val="Arial"/>
        <family val="2"/>
      </rPr>
      <t xml:space="preserve"> (tCO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/año)</t>
    </r>
  </si>
  <si>
    <r>
      <t>EC</t>
    </r>
    <r>
      <rPr>
        <vertAlign val="subscript"/>
        <sz val="11"/>
        <rFont val="Arial"/>
        <family val="2"/>
      </rPr>
      <t>BL,y</t>
    </r>
  </si>
  <si>
    <r>
      <t xml:space="preserve">Consumo de energía de la Línea Base en el año </t>
    </r>
    <r>
      <rPr>
        <i/>
        <sz val="11"/>
        <rFont val="Arial"/>
        <family val="2"/>
      </rPr>
      <t>y</t>
    </r>
    <r>
      <rPr>
        <sz val="11"/>
        <rFont val="Arial"/>
        <family val="2"/>
      </rPr>
      <t xml:space="preserve"> (kWh/año)</t>
    </r>
  </si>
  <si>
    <r>
      <t>EC</t>
    </r>
    <r>
      <rPr>
        <vertAlign val="subscript"/>
        <sz val="11"/>
        <rFont val="Arial"/>
        <family val="2"/>
      </rPr>
      <t>PJ,y</t>
    </r>
  </si>
  <si>
    <r>
      <t xml:space="preserve">Consumo de energía de las actividades de proyecto en el año </t>
    </r>
    <r>
      <rPr>
        <i/>
        <sz val="11"/>
        <rFont val="Arial"/>
        <family val="2"/>
      </rPr>
      <t>y</t>
    </r>
    <r>
      <rPr>
        <sz val="11"/>
        <rFont val="Arial"/>
        <family val="2"/>
      </rPr>
      <t xml:space="preserve"> (kWh/año)</t>
    </r>
  </si>
  <si>
    <r>
      <t>TD</t>
    </r>
    <r>
      <rPr>
        <vertAlign val="subscript"/>
        <sz val="11"/>
        <rFont val="Arial"/>
        <family val="2"/>
      </rPr>
      <t>y</t>
    </r>
  </si>
  <si>
    <t>1/1000</t>
  </si>
  <si>
    <t>Factor de conversión de kWh a MWh</t>
  </si>
  <si>
    <r>
      <t>EF</t>
    </r>
    <r>
      <rPr>
        <vertAlign val="subscript"/>
        <sz val="11"/>
        <rFont val="Arial"/>
        <family val="2"/>
      </rPr>
      <t>y</t>
    </r>
  </si>
  <si>
    <r>
      <t>Factor de emisión de la fuente de energía (tCO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/MWh)</t>
    </r>
  </si>
  <si>
    <t>Medida</t>
  </si>
  <si>
    <t>Finalidad</t>
  </si>
  <si>
    <t>Indicadores</t>
  </si>
  <si>
    <t>Fuente (s)</t>
  </si>
  <si>
    <t>Estudios de mercado</t>
  </si>
  <si>
    <t>Año</t>
  </si>
  <si>
    <r>
      <t xml:space="preserve">Esta medida de mitigación, propuesta por el Ministerio de Energía y Minas, propone que los equipos que requieran suministros energéticos incluyan en sus etiquetas, envases, empaques y publicidad, una etiqueta de eficiencia energética a través de la cual </t>
    </r>
    <r>
      <rPr>
        <u/>
        <sz val="11"/>
        <color theme="1"/>
        <rFont val="Calibri"/>
        <family val="2"/>
        <scheme val="minor"/>
      </rPr>
      <t>el consumidor pueda conocer el consumo de energía y la eficiencia energética del producto para la toma de decisión de consumo</t>
    </r>
    <r>
      <rPr>
        <sz val="11"/>
        <color theme="1"/>
        <rFont val="Calibri"/>
        <family val="2"/>
        <scheme val="minor"/>
      </rPr>
      <t xml:space="preserve">, reduciendo así las emisiones de GEI debido a la reducción del consumo de energía asociada a la mejora de eficiencia de los nuevos equipos a ser adquiridos por los consumidores. </t>
    </r>
    <r>
      <rPr>
        <u/>
        <sz val="11"/>
        <color theme="1"/>
        <rFont val="Calibri"/>
        <family val="2"/>
        <scheme val="minor"/>
      </rPr>
      <t>La medida se enmarca en el Reglamento Técnico</t>
    </r>
    <r>
      <rPr>
        <sz val="11"/>
        <color theme="1"/>
        <rFont val="Calibri"/>
        <family val="2"/>
        <scheme val="minor"/>
      </rPr>
      <t xml:space="preserve"> sobre el etiquetado de eficiencia energética para equipos energéticos, aprobado mediante Decreto Supremo N°009-2017-EM.</t>
    </r>
  </si>
  <si>
    <t>Lavadoras</t>
  </si>
  <si>
    <t>Secadoras</t>
  </si>
  <si>
    <t>Consumo eléctrico (según especificaciones de cada equipo)</t>
  </si>
  <si>
    <r>
      <t xml:space="preserve">Capacidad
</t>
    </r>
    <r>
      <rPr>
        <sz val="11"/>
        <color theme="1"/>
        <rFont val="Calibri"/>
        <family val="2"/>
        <scheme val="minor"/>
      </rPr>
      <t>(L)</t>
    </r>
  </si>
  <si>
    <r>
      <t xml:space="preserve">Consumo
</t>
    </r>
    <r>
      <rPr>
        <sz val="11"/>
        <color theme="1"/>
        <rFont val="Calibri"/>
        <family val="2"/>
        <scheme val="minor"/>
      </rPr>
      <t>(kWh/año)</t>
    </r>
  </si>
  <si>
    <r>
      <t xml:space="preserve">Consumo Normalizado
</t>
    </r>
    <r>
      <rPr>
        <sz val="11"/>
        <color theme="1"/>
        <rFont val="Calibri"/>
        <family val="2"/>
        <scheme val="minor"/>
      </rPr>
      <t>(kWh/año)</t>
    </r>
  </si>
  <si>
    <t>Categoría 1</t>
  </si>
  <si>
    <t>A</t>
  </si>
  <si>
    <t>Consumo Cat A</t>
  </si>
  <si>
    <t>B</t>
  </si>
  <si>
    <t>Consumo Cat B</t>
  </si>
  <si>
    <t>C</t>
  </si>
  <si>
    <t>Consumo Cat C</t>
  </si>
  <si>
    <t>D</t>
  </si>
  <si>
    <t>Consumo Cat D</t>
  </si>
  <si>
    <t>E</t>
  </si>
  <si>
    <t>Consumo Cat E</t>
  </si>
  <si>
    <t>F</t>
  </si>
  <si>
    <t>Consumo Cat F</t>
  </si>
  <si>
    <t>G</t>
  </si>
  <si>
    <t>Consumo Cat G</t>
  </si>
  <si>
    <t>Categoría 1: Refrigerador con uno o más compartimientos de conservación de alimentos frescos.</t>
  </si>
  <si>
    <t xml:space="preserve">Fuente: Evaluación del Impacto del Reglamento Técnico sobre el Etiquetado de Eficiencia Energética para Equipos Energéticos (Entregable final)
</t>
  </si>
  <si>
    <t>Cantidad</t>
  </si>
  <si>
    <t>Fecha del registro</t>
  </si>
  <si>
    <t>Responsable del registro</t>
  </si>
  <si>
    <t>A+++, B, C, etc.</t>
  </si>
  <si>
    <t>Número de unidades de este tipo, clase y descripción.</t>
  </si>
  <si>
    <t>Año al que corresponde el registro.</t>
  </si>
  <si>
    <t>DD/MM/AAAA en que se efectúa el registro en este formulario.</t>
  </si>
  <si>
    <t>Nombre del responsable del registro en este formulario.</t>
  </si>
  <si>
    <t>Juan Perez</t>
  </si>
  <si>
    <r>
      <t xml:space="preserve">Capacidad
</t>
    </r>
    <r>
      <rPr>
        <sz val="11"/>
        <color theme="0"/>
        <rFont val="Arial"/>
        <family val="2"/>
      </rPr>
      <t>(L)</t>
    </r>
  </si>
  <si>
    <t>Medio de verificación</t>
  </si>
  <si>
    <t>Nombre de institución que envío información</t>
  </si>
  <si>
    <t>Documento que avala los datos utilizados</t>
  </si>
  <si>
    <t>CCL</t>
  </si>
  <si>
    <t>Carta xyz</t>
  </si>
  <si>
    <t>Capacidad de la refrigeradora en litros</t>
  </si>
  <si>
    <t>REFRIGERADORAS</t>
  </si>
  <si>
    <r>
      <t xml:space="preserve">Operación diaria
</t>
    </r>
    <r>
      <rPr>
        <sz val="11"/>
        <color theme="1"/>
        <rFont val="Calibri"/>
        <family val="2"/>
        <scheme val="minor"/>
      </rPr>
      <t>(h)</t>
    </r>
  </si>
  <si>
    <t>Split</t>
  </si>
  <si>
    <t>DISTRIBUCIÓN DE TENECIA DE A.A POR TIPO</t>
  </si>
  <si>
    <r>
      <t xml:space="preserve">Potencia
</t>
    </r>
    <r>
      <rPr>
        <sz val="11"/>
        <color theme="1"/>
        <rFont val="Calibri"/>
        <family val="2"/>
        <scheme val="minor"/>
      </rPr>
      <t>(hp)</t>
    </r>
  </si>
  <si>
    <r>
      <t xml:space="preserve">Potencia salida
</t>
    </r>
    <r>
      <rPr>
        <sz val="11"/>
        <color theme="1"/>
        <rFont val="Calibri"/>
        <family val="2"/>
        <scheme val="minor"/>
      </rPr>
      <t>(kW)</t>
    </r>
  </si>
  <si>
    <t>Eficiencia</t>
  </si>
  <si>
    <t>DISTRIBUCIÓN DE TENECIA DE MOTORES POR POTENCIA</t>
  </si>
  <si>
    <t>1 hp</t>
  </si>
  <si>
    <t>2 hp</t>
  </si>
  <si>
    <t>5hp</t>
  </si>
  <si>
    <t>10 hp</t>
  </si>
  <si>
    <t>25 hp</t>
  </si>
  <si>
    <t>8h</t>
  </si>
  <si>
    <t>Etiqueta A (kWh/año)</t>
  </si>
  <si>
    <t>Etiqueta B (kWh/año)</t>
  </si>
  <si>
    <t>Etiqueta C (kWh/año)</t>
  </si>
  <si>
    <r>
      <t xml:space="preserve">Capacidad carga
</t>
    </r>
    <r>
      <rPr>
        <sz val="11"/>
        <color theme="1"/>
        <rFont val="Calibri"/>
        <family val="2"/>
        <scheme val="minor"/>
      </rPr>
      <t>(kg)</t>
    </r>
  </si>
  <si>
    <t>DISTRIBUCIÓN DE TENECIA DE LAVADORAS
 POR CAPACIDAD</t>
  </si>
  <si>
    <t>13-14</t>
  </si>
  <si>
    <t>15-16</t>
  </si>
  <si>
    <t>17-18</t>
  </si>
  <si>
    <t>19-20</t>
  </si>
  <si>
    <t>20+</t>
  </si>
  <si>
    <t>Priorizar equipos de mayor impacto</t>
  </si>
  <si>
    <t xml:space="preserve">Capacidad de llos equipos de aire acondicionado </t>
  </si>
  <si>
    <r>
      <t xml:space="preserve">Capacidad
</t>
    </r>
    <r>
      <rPr>
        <sz val="11"/>
        <color theme="0"/>
        <rFont val="Arial"/>
        <family val="2"/>
      </rPr>
      <t>(BTU)</t>
    </r>
  </si>
  <si>
    <t>Mini Split 9000 - 12000 BTU</t>
  </si>
  <si>
    <t>Mini Split 12000-18000 BTU</t>
  </si>
  <si>
    <t>Mini Split 18000-24000 BTU</t>
  </si>
  <si>
    <t>24000-30000 BTU</t>
  </si>
  <si>
    <t>30000 + BTU</t>
  </si>
  <si>
    <r>
      <t xml:space="preserve">Capacidad
</t>
    </r>
    <r>
      <rPr>
        <sz val="11"/>
        <color theme="1"/>
        <rFont val="Calibri"/>
        <family val="2"/>
        <scheme val="minor"/>
      </rPr>
      <t>(BTU/h)</t>
    </r>
  </si>
  <si>
    <t>Etiqueta D (kWh/año)</t>
  </si>
  <si>
    <t>Etiqueta E (kWh/año)</t>
  </si>
  <si>
    <t>Etiqueta F (kWh/año)</t>
  </si>
  <si>
    <t>Etiqueta G (kWh/año)</t>
  </si>
  <si>
    <t>Especificación del equipo (split, ventana)</t>
  </si>
  <si>
    <t>AIRE ACONDICIONADO</t>
  </si>
  <si>
    <r>
      <t>Metodología</t>
    </r>
    <r>
      <rPr>
        <sz val="12"/>
        <color theme="1"/>
        <rFont val="Eras Medium ITC"/>
        <family val="2"/>
      </rPr>
      <t xml:space="preserve"> </t>
    </r>
  </si>
  <si>
    <t>Categoría 8</t>
  </si>
  <si>
    <t>Categoría 9</t>
  </si>
  <si>
    <t>BaU</t>
  </si>
  <si>
    <t>Mitigación</t>
  </si>
  <si>
    <r>
      <t xml:space="preserve">Capacidad
</t>
    </r>
    <r>
      <rPr>
        <sz val="11"/>
        <color theme="1"/>
        <rFont val="Calibri"/>
        <family val="2"/>
        <scheme val="minor"/>
      </rPr>
      <t>(L/min)</t>
    </r>
  </si>
  <si>
    <r>
      <t xml:space="preserve">Capacidad
</t>
    </r>
    <r>
      <rPr>
        <sz val="11"/>
        <color theme="0"/>
        <rFont val="Arial"/>
        <family val="2"/>
      </rPr>
      <t>(kg)</t>
    </r>
  </si>
  <si>
    <t>Lámparas</t>
  </si>
  <si>
    <r>
      <t xml:space="preserve">Potencia 
</t>
    </r>
    <r>
      <rPr>
        <sz val="11"/>
        <color theme="1"/>
        <rFont val="Calibri"/>
        <family val="2"/>
        <scheme val="minor"/>
      </rPr>
      <t>(W)</t>
    </r>
  </si>
  <si>
    <t>Incandescente</t>
  </si>
  <si>
    <t>Fluorescente líneal</t>
  </si>
  <si>
    <t>Ahorrador (LFC)</t>
  </si>
  <si>
    <t>LED</t>
  </si>
  <si>
    <r>
      <t xml:space="preserve">Uso diario 
</t>
    </r>
    <r>
      <rPr>
        <sz val="11"/>
        <color theme="1"/>
        <rFont val="Calibri"/>
        <family val="2"/>
        <scheme val="minor"/>
      </rPr>
      <t>(h)</t>
    </r>
  </si>
  <si>
    <t>Sector</t>
  </si>
  <si>
    <r>
      <t xml:space="preserve">Uso anual
</t>
    </r>
    <r>
      <rPr>
        <sz val="11"/>
        <color theme="1"/>
        <rFont val="Calibri"/>
        <family val="2"/>
        <scheme val="minor"/>
      </rPr>
      <t>(h)</t>
    </r>
  </si>
  <si>
    <t>Residencial</t>
  </si>
  <si>
    <t>Público</t>
  </si>
  <si>
    <t>Comercial</t>
  </si>
  <si>
    <t>Industrial</t>
  </si>
  <si>
    <t>A, B, C, etc.</t>
  </si>
  <si>
    <t>Pérdidas por Transmisión y Distribución (TDy)</t>
  </si>
  <si>
    <t>TDy</t>
  </si>
  <si>
    <t>http://www.minem.gob.pe/minem/archivos/Cap%C3%83%C2%ADtulo1_-%20Balance%20y%20Principales%20Indicadores%20El%C3%83%C2%A9ctricos%202010%20(2).pdf</t>
  </si>
  <si>
    <t>http://www.minem.gob.pe/minem/archivos/Cap_1_%20%20Balance%20y%20Principales%20Indicadores%202011.pdf</t>
  </si>
  <si>
    <t>http://www.minem.gob.pe/minem/archivos/Capitulo%201%20%20Balance%20y%20Principales%20Indicadores%202012.pdf</t>
  </si>
  <si>
    <t>http://www.minem.gob.pe/minem/archivos/Capitulo%201%20%20Balance%20y%20Principales%20Indicadores%202013.pdf</t>
  </si>
  <si>
    <t>http://www.minem.gob.pe/minem/archivos/BALANCE%20E%20INDICADORES%202014.pdf</t>
  </si>
  <si>
    <t>http://www.minem.gob.pe/minem/archivos/Capitulo%201%20Indicadores%20FINAL.pdf</t>
  </si>
  <si>
    <t>http://www.minem.gob.pe/minem/archivos/Capitulo%201%20%20Balance%20e%20Indicadores%202016.pdf</t>
  </si>
  <si>
    <t>http://www.minem.gob.pe/minem/archivos/Capitulo%201%20Balance%20e%20Indicadores%202017.pdf</t>
  </si>
  <si>
    <r>
      <t>Factor de emisión (EFy) de la fuente de energía (tCO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/MWh)</t>
    </r>
  </si>
  <si>
    <t>EFy (S/E)</t>
  </si>
  <si>
    <t>EFy (mH)</t>
  </si>
  <si>
    <t>Validation report for: “Emission factor calculation for the National Interconnected Electricity System of Peru (SEIN)”</t>
  </si>
  <si>
    <t>Capacidad del calentador</t>
  </si>
  <si>
    <t>Promedio anual de pérdidas técnicas en la red</t>
  </si>
  <si>
    <t>Categoría 2</t>
  </si>
  <si>
    <t>Categoría 2: Refrigerador - bodega, bodega y armarios para la conservación de vinos</t>
  </si>
  <si>
    <t>Categoría 3</t>
  </si>
  <si>
    <t>Categoría 3: Refrigerador - helador y refrigerador con un compartimento sin estrellas</t>
  </si>
  <si>
    <t>Categoría 4</t>
  </si>
  <si>
    <t>Categoría 4: Refrigerador con un compartimiento de una estrella</t>
  </si>
  <si>
    <t>Categoría 5</t>
  </si>
  <si>
    <t>Categoría 6</t>
  </si>
  <si>
    <t>Categoría 5: Refrigerador con un compartimiento de dos estrellas</t>
  </si>
  <si>
    <t>Categoría 6: Refrigerador con un compartimiento de tres estrellas</t>
  </si>
  <si>
    <t>Categoría 7</t>
  </si>
  <si>
    <t>Categoría 7: Refrigerador congelador</t>
  </si>
  <si>
    <t>Categoría 10</t>
  </si>
  <si>
    <t>Categoría 10: Aparatos de refrigeración multiuso y de otro tipo</t>
  </si>
  <si>
    <t>Categoría</t>
  </si>
  <si>
    <t>Según el Reglamento Técnico de EEE</t>
  </si>
  <si>
    <t>Categorías de Reglamento Técnico EEE</t>
  </si>
  <si>
    <r>
      <t xml:space="preserve">Consumo
</t>
    </r>
    <r>
      <rPr>
        <sz val="11"/>
        <color theme="1"/>
        <rFont val="Calibri"/>
        <family val="2"/>
        <scheme val="minor"/>
      </rPr>
      <t>(kg/año)</t>
    </r>
  </si>
  <si>
    <t>Energético</t>
  </si>
  <si>
    <t>Energía que hace funcionar al calentador</t>
  </si>
  <si>
    <t>Electricidad</t>
  </si>
  <si>
    <t>Gas natural</t>
  </si>
  <si>
    <t>Gas Licuado de petróleo</t>
  </si>
  <si>
    <t>Capacidad</t>
  </si>
  <si>
    <r>
      <t>ER</t>
    </r>
    <r>
      <rPr>
        <vertAlign val="subscript"/>
        <sz val="16"/>
        <color theme="1"/>
        <rFont val="Calibri"/>
        <family val="2"/>
        <scheme val="minor"/>
      </rPr>
      <t>y</t>
    </r>
    <r>
      <rPr>
        <sz val="16"/>
        <color theme="1"/>
        <rFont val="Calibri"/>
        <family val="2"/>
        <scheme val="minor"/>
      </rPr>
      <t xml:space="preserve"> = </t>
    </r>
    <r>
      <rPr>
        <sz val="16"/>
        <color theme="1"/>
        <rFont val="Calibri"/>
        <family val="2"/>
      </rPr>
      <t>[</t>
    </r>
    <r>
      <rPr>
        <sz val="16"/>
        <color theme="1"/>
        <rFont val="Calibri"/>
        <family val="2"/>
        <scheme val="minor"/>
      </rPr>
      <t>FC</t>
    </r>
    <r>
      <rPr>
        <vertAlign val="subscript"/>
        <sz val="16"/>
        <color theme="1"/>
        <rFont val="Calibri"/>
        <family val="2"/>
        <scheme val="minor"/>
      </rPr>
      <t>b,y</t>
    </r>
    <r>
      <rPr>
        <sz val="16"/>
        <color theme="1"/>
        <rFont val="Calibri"/>
        <family val="2"/>
        <scheme val="minor"/>
      </rPr>
      <t xml:space="preserve"> ∙ NCV</t>
    </r>
    <r>
      <rPr>
        <vertAlign val="subscript"/>
        <sz val="16"/>
        <color theme="1"/>
        <rFont val="Calibri"/>
        <family val="2"/>
        <scheme val="minor"/>
      </rPr>
      <t>b,fuel ∙</t>
    </r>
    <r>
      <rPr>
        <sz val="16"/>
        <color theme="1"/>
        <rFont val="Calibri"/>
        <family val="2"/>
        <scheme val="minor"/>
      </rPr>
      <t xml:space="preserve"> (EF</t>
    </r>
    <r>
      <rPr>
        <vertAlign val="subscript"/>
        <sz val="16"/>
        <color theme="1"/>
        <rFont val="Calibri"/>
        <family val="2"/>
        <scheme val="minor"/>
      </rPr>
      <t xml:space="preserve">b,fuel,CO2 </t>
    </r>
    <r>
      <rPr>
        <sz val="16"/>
        <color theme="1"/>
        <rFont val="Calibri"/>
        <family val="2"/>
        <scheme val="minor"/>
      </rPr>
      <t>+</t>
    </r>
    <r>
      <rPr>
        <vertAlign val="subscript"/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Calibri"/>
        <family val="2"/>
        <scheme val="minor"/>
      </rPr>
      <t>EF</t>
    </r>
    <r>
      <rPr>
        <vertAlign val="subscript"/>
        <sz val="16"/>
        <color theme="1"/>
        <rFont val="Calibri"/>
        <family val="2"/>
        <scheme val="minor"/>
      </rPr>
      <t xml:space="preserve">b,fuel,CH4 </t>
    </r>
    <r>
      <rPr>
        <sz val="16"/>
        <color theme="1"/>
        <rFont val="Calibri"/>
        <family val="2"/>
        <scheme val="minor"/>
      </rPr>
      <t>∙</t>
    </r>
    <r>
      <rPr>
        <vertAlign val="subscript"/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Calibri"/>
        <family val="2"/>
        <scheme val="minor"/>
      </rPr>
      <t>PCG</t>
    </r>
    <r>
      <rPr>
        <vertAlign val="subscript"/>
        <sz val="16"/>
        <color theme="1"/>
        <rFont val="Calibri"/>
        <family val="2"/>
        <scheme val="minor"/>
      </rPr>
      <t xml:space="preserve">CH4 </t>
    </r>
    <r>
      <rPr>
        <sz val="16"/>
        <color theme="1"/>
        <rFont val="Calibri"/>
        <family val="2"/>
        <scheme val="minor"/>
      </rPr>
      <t>+</t>
    </r>
    <r>
      <rPr>
        <vertAlign val="subscript"/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Calibri"/>
        <family val="2"/>
        <scheme val="minor"/>
      </rPr>
      <t>EF</t>
    </r>
    <r>
      <rPr>
        <vertAlign val="subscript"/>
        <sz val="16"/>
        <color theme="1"/>
        <rFont val="Calibri"/>
        <family val="2"/>
        <scheme val="minor"/>
      </rPr>
      <t xml:space="preserve">b,fuel,N2O </t>
    </r>
    <r>
      <rPr>
        <sz val="16"/>
        <color theme="1"/>
        <rFont val="Calibri"/>
        <family val="2"/>
        <scheme val="minor"/>
      </rPr>
      <t>∙</t>
    </r>
    <r>
      <rPr>
        <vertAlign val="subscript"/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Calibri"/>
        <family val="2"/>
        <scheme val="minor"/>
      </rPr>
      <t>PCG</t>
    </r>
    <r>
      <rPr>
        <vertAlign val="subscript"/>
        <sz val="16"/>
        <color theme="1"/>
        <rFont val="Calibri"/>
        <family val="2"/>
        <scheme val="minor"/>
      </rPr>
      <t>N2O</t>
    </r>
    <r>
      <rPr>
        <sz val="16"/>
        <color theme="1"/>
        <rFont val="Calibri"/>
        <family val="2"/>
        <scheme val="minor"/>
      </rPr>
      <t>)</t>
    </r>
    <r>
      <rPr>
        <sz val="16"/>
        <color theme="1"/>
        <rFont val="Calibri"/>
        <family val="2"/>
      </rPr>
      <t>]</t>
    </r>
    <r>
      <rPr>
        <sz val="16"/>
        <color theme="1"/>
        <rFont val="Calibri"/>
        <family val="2"/>
        <scheme val="minor"/>
      </rPr>
      <t xml:space="preserve"> - </t>
    </r>
    <r>
      <rPr>
        <sz val="16"/>
        <color theme="1"/>
        <rFont val="Calibri"/>
        <family val="2"/>
      </rPr>
      <t>[</t>
    </r>
    <r>
      <rPr>
        <sz val="16"/>
        <color theme="1"/>
        <rFont val="Calibri"/>
        <family val="2"/>
        <scheme val="minor"/>
      </rPr>
      <t>FC</t>
    </r>
    <r>
      <rPr>
        <vertAlign val="subscript"/>
        <sz val="16"/>
        <color theme="1"/>
        <rFont val="Calibri"/>
        <family val="2"/>
        <scheme val="minor"/>
      </rPr>
      <t>p,y</t>
    </r>
    <r>
      <rPr>
        <sz val="16"/>
        <color theme="1"/>
        <rFont val="Calibri"/>
        <family val="2"/>
        <scheme val="minor"/>
      </rPr>
      <t xml:space="preserve"> ∙ NCV</t>
    </r>
    <r>
      <rPr>
        <vertAlign val="subscript"/>
        <sz val="16"/>
        <color theme="1"/>
        <rFont val="Calibri"/>
        <family val="2"/>
        <scheme val="minor"/>
      </rPr>
      <t>p,fuel</t>
    </r>
    <r>
      <rPr>
        <sz val="16"/>
        <color theme="1"/>
        <rFont val="Calibri"/>
        <family val="2"/>
        <scheme val="minor"/>
      </rPr>
      <t xml:space="preserve"> ∙ (EF</t>
    </r>
    <r>
      <rPr>
        <vertAlign val="subscript"/>
        <sz val="16"/>
        <color theme="1"/>
        <rFont val="Calibri"/>
        <family val="2"/>
        <scheme val="minor"/>
      </rPr>
      <t>p,fuel,CO2</t>
    </r>
    <r>
      <rPr>
        <sz val="16"/>
        <color theme="1"/>
        <rFont val="Calibri"/>
        <family val="2"/>
        <scheme val="minor"/>
      </rPr>
      <t xml:space="preserve"> + EF</t>
    </r>
    <r>
      <rPr>
        <vertAlign val="subscript"/>
        <sz val="16"/>
        <color theme="1"/>
        <rFont val="Calibri"/>
        <family val="2"/>
        <scheme val="minor"/>
      </rPr>
      <t>p,fuel,CH4</t>
    </r>
    <r>
      <rPr>
        <sz val="16"/>
        <color theme="1"/>
        <rFont val="Calibri"/>
        <family val="2"/>
        <scheme val="minor"/>
      </rPr>
      <t xml:space="preserve"> ∙ PCG</t>
    </r>
    <r>
      <rPr>
        <vertAlign val="subscript"/>
        <sz val="16"/>
        <color theme="1"/>
        <rFont val="Calibri"/>
        <family val="2"/>
        <scheme val="minor"/>
      </rPr>
      <t>CH4</t>
    </r>
    <r>
      <rPr>
        <sz val="16"/>
        <color theme="1"/>
        <rFont val="Calibri"/>
        <family val="2"/>
        <scheme val="minor"/>
      </rPr>
      <t xml:space="preserve"> + EF</t>
    </r>
    <r>
      <rPr>
        <vertAlign val="subscript"/>
        <sz val="16"/>
        <color theme="1"/>
        <rFont val="Calibri"/>
        <family val="2"/>
        <scheme val="minor"/>
      </rPr>
      <t>p,fuel,N2O</t>
    </r>
    <r>
      <rPr>
        <sz val="16"/>
        <color theme="1"/>
        <rFont val="Calibri"/>
        <family val="2"/>
        <scheme val="minor"/>
      </rPr>
      <t xml:space="preserve"> ∙ PCG</t>
    </r>
    <r>
      <rPr>
        <vertAlign val="subscript"/>
        <sz val="16"/>
        <color theme="1"/>
        <rFont val="Calibri"/>
        <family val="2"/>
        <scheme val="minor"/>
      </rPr>
      <t>N2O</t>
    </r>
    <r>
      <rPr>
        <sz val="16"/>
        <color theme="1"/>
        <rFont val="Calibri"/>
        <family val="2"/>
        <scheme val="minor"/>
      </rPr>
      <t>)</t>
    </r>
    <r>
      <rPr>
        <sz val="16"/>
        <color theme="1"/>
        <rFont val="Calibri"/>
        <family val="2"/>
      </rPr>
      <t>]</t>
    </r>
  </si>
  <si>
    <t>Donde:</t>
  </si>
  <si>
    <r>
      <t>ER</t>
    </r>
    <r>
      <rPr>
        <vertAlign val="subscript"/>
        <sz val="11"/>
        <color theme="1"/>
        <rFont val="Calibri"/>
        <family val="2"/>
        <scheme val="minor"/>
      </rPr>
      <t>y</t>
    </r>
  </si>
  <si>
    <r>
      <t>Emisiones reducidas durante el año "y" en tCO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e</t>
    </r>
  </si>
  <si>
    <r>
      <t>FC</t>
    </r>
    <r>
      <rPr>
        <vertAlign val="subscript"/>
        <sz val="11"/>
        <color theme="1"/>
        <rFont val="Calibri"/>
        <family val="2"/>
        <scheme val="minor"/>
      </rPr>
      <t>b,y</t>
    </r>
  </si>
  <si>
    <t xml:space="preserve">Cantidad de combustible consumido en la Línea de Base b durante un año "y" </t>
  </si>
  <si>
    <r>
      <t>NCV</t>
    </r>
    <r>
      <rPr>
        <vertAlign val="subscript"/>
        <sz val="11"/>
        <color theme="1"/>
        <rFont val="Calibri"/>
        <family val="2"/>
        <scheme val="minor"/>
      </rPr>
      <t>b,fuel</t>
    </r>
  </si>
  <si>
    <t xml:space="preserve">Valor Calorífico Neto del combustible </t>
  </si>
  <si>
    <r>
      <t>EF</t>
    </r>
    <r>
      <rPr>
        <vertAlign val="subscript"/>
        <sz val="11"/>
        <color theme="1"/>
        <rFont val="Calibri"/>
        <family val="2"/>
        <scheme val="minor"/>
      </rPr>
      <t>b,fuel,CO2</t>
    </r>
  </si>
  <si>
    <r>
      <t>Factor de emisión de CO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 xml:space="preserve"> del combustible de línea base</t>
    </r>
  </si>
  <si>
    <r>
      <t>EF</t>
    </r>
    <r>
      <rPr>
        <vertAlign val="subscript"/>
        <sz val="11"/>
        <color theme="1"/>
        <rFont val="Calibri"/>
        <family val="2"/>
        <scheme val="minor"/>
      </rPr>
      <t>b,fuel,CH4</t>
    </r>
  </si>
  <si>
    <t>Factor de emisión de CH4 del combustible de línea base</t>
  </si>
  <si>
    <r>
      <t>EF</t>
    </r>
    <r>
      <rPr>
        <vertAlign val="subscript"/>
        <sz val="11"/>
        <color theme="1"/>
        <rFont val="Calibri"/>
        <family val="2"/>
        <scheme val="minor"/>
      </rPr>
      <t>b,fuel,N2O</t>
    </r>
  </si>
  <si>
    <t>Factor de emisión de N2O del combustible de línea base</t>
  </si>
  <si>
    <r>
      <t>FC</t>
    </r>
    <r>
      <rPr>
        <vertAlign val="subscript"/>
        <sz val="11"/>
        <color theme="1"/>
        <rFont val="Calibri"/>
        <family val="2"/>
        <scheme val="minor"/>
      </rPr>
      <t>p,y</t>
    </r>
  </si>
  <si>
    <t>Cantidad de combustible consumido en proyecto durante un año "y" (t)</t>
  </si>
  <si>
    <r>
      <t>NCV</t>
    </r>
    <r>
      <rPr>
        <vertAlign val="subscript"/>
        <sz val="11"/>
        <color theme="1"/>
        <rFont val="Calibri"/>
        <family val="2"/>
        <scheme val="minor"/>
      </rPr>
      <t>p,fuel</t>
    </r>
  </si>
  <si>
    <r>
      <t>EF</t>
    </r>
    <r>
      <rPr>
        <vertAlign val="subscript"/>
        <sz val="11"/>
        <color theme="1"/>
        <rFont val="Calibri"/>
        <family val="2"/>
        <scheme val="minor"/>
      </rPr>
      <t>p,fuel,CO2</t>
    </r>
  </si>
  <si>
    <r>
      <t>Factor de emisión de CO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 xml:space="preserve"> del combustible de proyecto</t>
    </r>
  </si>
  <si>
    <r>
      <t>EF</t>
    </r>
    <r>
      <rPr>
        <vertAlign val="subscript"/>
        <sz val="11"/>
        <color theme="1"/>
        <rFont val="Calibri"/>
        <family val="2"/>
        <scheme val="minor"/>
      </rPr>
      <t>p,fuel,CH4</t>
    </r>
  </si>
  <si>
    <t>Factor de emisión de CH4 del combustible de proyecto</t>
  </si>
  <si>
    <r>
      <t>EF</t>
    </r>
    <r>
      <rPr>
        <vertAlign val="subscript"/>
        <sz val="11"/>
        <color theme="1"/>
        <rFont val="Calibri"/>
        <family val="2"/>
        <scheme val="minor"/>
      </rPr>
      <t>p,fuel,N2O</t>
    </r>
  </si>
  <si>
    <t>Factor de emisión de N2O del combustible de proyecto</t>
  </si>
  <si>
    <r>
      <t>PCG</t>
    </r>
    <r>
      <rPr>
        <vertAlign val="subscript"/>
        <sz val="11"/>
        <color theme="1"/>
        <rFont val="Calibri"/>
        <family val="2"/>
        <scheme val="minor"/>
      </rPr>
      <t>CH4</t>
    </r>
  </si>
  <si>
    <t>Potencial de Calentamiento Global del metano</t>
  </si>
  <si>
    <r>
      <t>PCG</t>
    </r>
    <r>
      <rPr>
        <vertAlign val="subscript"/>
        <sz val="11"/>
        <color theme="1"/>
        <rFont val="Calibri"/>
        <family val="2"/>
        <scheme val="minor"/>
      </rPr>
      <t>N2O</t>
    </r>
  </si>
  <si>
    <t>Potencial de Calentamiento Global del óxido nitroso</t>
  </si>
  <si>
    <t>Valor calórico neto de combustibles</t>
  </si>
  <si>
    <t>Factores de emisión IPCC</t>
  </si>
  <si>
    <t>Potencial de Calentamiento Global</t>
  </si>
  <si>
    <t>Combustible</t>
  </si>
  <si>
    <t>VCN</t>
  </si>
  <si>
    <t>Unidades</t>
  </si>
  <si>
    <r>
      <t>kgCO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/TJ</t>
    </r>
  </si>
  <si>
    <r>
      <t>kgCH</t>
    </r>
    <r>
      <rPr>
        <b/>
        <vertAlign val="subscript"/>
        <sz val="10"/>
        <color theme="1"/>
        <rFont val="Arial"/>
        <family val="2"/>
      </rPr>
      <t>4</t>
    </r>
    <r>
      <rPr>
        <b/>
        <sz val="10"/>
        <color theme="1"/>
        <rFont val="Arial"/>
        <family val="2"/>
      </rPr>
      <t>/TJ</t>
    </r>
  </si>
  <si>
    <r>
      <t>kgN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O/TJ</t>
    </r>
  </si>
  <si>
    <r>
      <t>kgCO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e/TJ</t>
    </r>
  </si>
  <si>
    <t>GEI</t>
  </si>
  <si>
    <t>AR2</t>
  </si>
  <si>
    <t>AR4</t>
  </si>
  <si>
    <t>AR5</t>
  </si>
  <si>
    <r>
      <t>CO</t>
    </r>
    <r>
      <rPr>
        <vertAlign val="subscript"/>
        <sz val="10"/>
        <color theme="1"/>
        <rFont val="Arial"/>
        <family val="2"/>
      </rPr>
      <t>2</t>
    </r>
  </si>
  <si>
    <r>
      <t>CH</t>
    </r>
    <r>
      <rPr>
        <vertAlign val="subscript"/>
        <sz val="10"/>
        <color theme="1"/>
        <rFont val="Arial"/>
        <family val="2"/>
      </rPr>
      <t>4</t>
    </r>
  </si>
  <si>
    <t>Gas Natural</t>
  </si>
  <si>
    <r>
      <t>N</t>
    </r>
    <r>
      <rPr>
        <vertAlign val="subscript"/>
        <sz val="10"/>
        <color theme="1"/>
        <rFont val="Arial"/>
        <family val="2"/>
      </rPr>
      <t>2</t>
    </r>
    <r>
      <rPr>
        <sz val="11"/>
        <color theme="1"/>
        <rFont val="Calibri"/>
        <family val="2"/>
        <scheme val="minor"/>
      </rPr>
      <t>O</t>
    </r>
  </si>
  <si>
    <t>GLP</t>
  </si>
  <si>
    <t>Fuente: Global Warming Potential Values - GHG Protocol</t>
  </si>
  <si>
    <t>https://www.ghgprotocol.org/sites/default/files/ghgp/Global-Warming-Potential-Values%20%28Feb%2016%202016%29_1.pdf</t>
  </si>
  <si>
    <t>TJ/kg</t>
  </si>
  <si>
    <r>
      <t>Metodología</t>
    </r>
    <r>
      <rPr>
        <sz val="12"/>
        <color theme="1"/>
        <rFont val="Eras Medium ITC"/>
        <family val="2"/>
      </rPr>
      <t xml:space="preserve"> (</t>
    </r>
    <r>
      <rPr>
        <u/>
        <sz val="12"/>
        <color theme="1"/>
        <rFont val="Eras Medium ITC"/>
        <family val="2"/>
      </rPr>
      <t xml:space="preserve">calentadores de agua </t>
    </r>
    <r>
      <rPr>
        <sz val="12"/>
        <color theme="1"/>
        <rFont val="Eras Medium ITC"/>
        <family val="2"/>
      </rPr>
      <t>u otros que consuman combustibles fósiles)</t>
    </r>
  </si>
  <si>
    <r>
      <t xml:space="preserve">Dar cumplimiento al Reglamento Técnico sobre el etiquetado de eficiencia energética para equipos energéticos, aprobado mediante Decreto Supremo N°009-2017-EM. Puede incluir </t>
    </r>
    <r>
      <rPr>
        <b/>
        <sz val="11"/>
        <color theme="1"/>
        <rFont val="Calibri"/>
        <family val="2"/>
        <scheme val="minor"/>
      </rPr>
      <t xml:space="preserve">aparatos de refrigeración, </t>
    </r>
    <r>
      <rPr>
        <b/>
        <sz val="11"/>
        <color theme="6" tint="-0.249977111117893"/>
        <rFont val="Calibri"/>
        <family val="2"/>
        <scheme val="minor"/>
      </rPr>
      <t>calderas, motores eléctricos</t>
    </r>
    <r>
      <rPr>
        <b/>
        <sz val="11"/>
        <color theme="1"/>
        <rFont val="Calibri"/>
        <family val="2"/>
        <scheme val="minor"/>
      </rPr>
      <t>, lavadoras, secadoras, equipos de aire acondicionado y calentadores de agua</t>
    </r>
    <r>
      <rPr>
        <sz val="11"/>
        <color theme="1"/>
        <rFont val="Calibri"/>
        <family val="2"/>
        <scheme val="minor"/>
      </rPr>
      <t>. No incluye luminarias.</t>
    </r>
    <r>
      <rPr>
        <sz val="11"/>
        <color rgb="FFFF0000"/>
        <rFont val="Calibri"/>
        <family val="2"/>
        <scheme val="minor"/>
      </rPr>
      <t xml:space="preserve"> Recomendacion: solo incluir campañas masivas, sello y linea de financiamiento (POR EJEMPLO COFIDE, FOFEE).</t>
    </r>
  </si>
  <si>
    <t>700 + L</t>
  </si>
  <si>
    <t xml:space="preserve">Refrigeradoras </t>
  </si>
  <si>
    <t>Congeladoras</t>
  </si>
  <si>
    <t>Motores eléctricos</t>
  </si>
  <si>
    <r>
      <t xml:space="preserve">CALENTADORES </t>
    </r>
    <r>
      <rPr>
        <sz val="11"/>
        <color theme="1"/>
        <rFont val="Calibri"/>
        <family val="2"/>
        <scheme val="minor"/>
      </rPr>
      <t>(eléctricos)</t>
    </r>
  </si>
  <si>
    <t>Potencia</t>
  </si>
  <si>
    <t>Especificación de la potencia del equipo</t>
  </si>
  <si>
    <t>Fuente: Evaluación del Impacto del Reglamento Técnico sobre el Etiquetado de Eficiencia Energética para Equipos Energéticos (Entregable final).</t>
  </si>
  <si>
    <t>Fuente: VALIDATION REPORT FOR “Emission factor calculation for the National Interconnected Electricity System of Peru (SEIN)”</t>
  </si>
  <si>
    <t>Fuente: RAGEI 2016</t>
  </si>
  <si>
    <t>Fuente: Directrices IPCC 2006</t>
  </si>
  <si>
    <t>Fuente (gas natural): Calculos propios</t>
  </si>
  <si>
    <t>Esta medida deberá ser llenada unicamente por el especialista encargado, se llenará a través de distintos estudios de mercado</t>
  </si>
  <si>
    <r>
      <t xml:space="preserve">Emisiones de GEI reducidas
</t>
    </r>
    <r>
      <rPr>
        <sz val="11"/>
        <color theme="0"/>
        <rFont val="Arial"/>
        <family val="2"/>
      </rPr>
      <t>(tCO</t>
    </r>
    <r>
      <rPr>
        <vertAlign val="subscript"/>
        <sz val="11"/>
        <color theme="0"/>
        <rFont val="Arial"/>
        <family val="2"/>
      </rPr>
      <t>2</t>
    </r>
    <r>
      <rPr>
        <sz val="11"/>
        <color theme="0"/>
        <rFont val="Arial"/>
        <family val="2"/>
      </rPr>
      <t>e)</t>
    </r>
  </si>
  <si>
    <t>Winer Zevallos</t>
  </si>
  <si>
    <t>Estudio de mercado</t>
  </si>
  <si>
    <t>Acumulación</t>
  </si>
  <si>
    <t>CEA</t>
  </si>
  <si>
    <t>Calentadores de agua (eléctricos acumulación)</t>
  </si>
  <si>
    <t>Calentadores de agua (eléctricos instantaneo)</t>
  </si>
  <si>
    <t>Instantaneo</t>
  </si>
  <si>
    <r>
      <t xml:space="preserve">Potencia
</t>
    </r>
    <r>
      <rPr>
        <sz val="11"/>
        <color theme="1"/>
        <rFont val="Calibri"/>
        <family val="2"/>
        <scheme val="minor"/>
      </rPr>
      <t>(kW)</t>
    </r>
  </si>
  <si>
    <r>
      <rPr>
        <b/>
        <sz val="11"/>
        <color theme="1"/>
        <rFont val="Calibri"/>
        <family val="2"/>
        <scheme val="minor"/>
      </rPr>
      <t>CALENTADORES</t>
    </r>
    <r>
      <rPr>
        <sz val="11"/>
        <color theme="1"/>
        <rFont val="Calibri"/>
        <family val="2"/>
        <scheme val="minor"/>
      </rPr>
      <t xml:space="preserve"> (Gas)</t>
    </r>
  </si>
  <si>
    <t>Calentadores de agua (gas acumulación)</t>
  </si>
  <si>
    <t>CGA</t>
  </si>
  <si>
    <t>Gas Licuado de Petróleo</t>
  </si>
  <si>
    <t>QC</t>
  </si>
  <si>
    <t>MM</t>
  </si>
  <si>
    <t>ER</t>
  </si>
  <si>
    <t>Emisiones que se evitaron</t>
  </si>
  <si>
    <t>DISTRIBUCIÓN DE TENECIA DE SECADORAS
 POR CAPACIDAD</t>
  </si>
  <si>
    <t xml:space="preserve"> 8 kg</t>
  </si>
  <si>
    <t>9-11 kg</t>
  </si>
  <si>
    <t>más de 13 kg</t>
  </si>
  <si>
    <t>Mes de adquisición</t>
  </si>
  <si>
    <t>Marzo</t>
  </si>
  <si>
    <t>Setiembre</t>
  </si>
  <si>
    <t>Febrero</t>
  </si>
  <si>
    <t>Julio</t>
  </si>
  <si>
    <t>Enero</t>
  </si>
  <si>
    <t>Meses contables</t>
  </si>
  <si>
    <t>Meses del año en los que se contabilizará la energía ahorrada</t>
  </si>
  <si>
    <t>CONGELADORAS</t>
  </si>
  <si>
    <t>Abril</t>
  </si>
  <si>
    <t>Junio</t>
  </si>
  <si>
    <t>Mayo</t>
  </si>
  <si>
    <t>Noviembre</t>
  </si>
  <si>
    <t>Agosto</t>
  </si>
  <si>
    <t>Mes en el que se compraron las refrigeradoras</t>
  </si>
  <si>
    <t>Mes en el que se compraron las congeladoras</t>
  </si>
  <si>
    <t>Mes en el que se compraron los calentadores</t>
  </si>
  <si>
    <t>Mes en el que se compraron las lavadoras</t>
  </si>
  <si>
    <t>Mes en el que se compraron las secadoras</t>
  </si>
  <si>
    <t>Mes en el que se compraron los equipos de aire acondicionado</t>
  </si>
  <si>
    <t>Mes en el que se compraron los motores eléctricos</t>
  </si>
  <si>
    <t>Acumulado</t>
  </si>
  <si>
    <t>27/05/72030</t>
  </si>
  <si>
    <t>50 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</si>
</sst>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 * #,##0.00_ ;_ * \-#,##0.00_ ;_ * &quot;-&quot;??_ ;_ @_ "/>
    <numFmt numFmtId="165" formatCode="_ * #,##0.0_ ;_ * \-#,##0.0_ ;_ * &quot;-&quot;??_ ;_ @_ "/>
    <numFmt numFmtId="166" formatCode="0.0%"/>
    <numFmt numFmtId="167" formatCode="_ * #,##0_ ;_ * \-#,##0_ ;_ * &quot;-&quot;??_ ;_ @_ "/>
    <numFmt numFmtId="168" formatCode="_ * #,##0.000000_ ;_ * \-#,##0.000000_ ;_ * &quot;-&quot;??_ ;_ @_ "/>
    <numFmt numFmtId="169" formatCode="0.000000"/>
    <numFmt numFmtId="170" formatCode="0.0"/>
    <numFmt numFmtId="171" formatCode="_ * #,##0.0000_ ;_ * \-#,##0.0000_ ;_ * &quot;-&quot;??_ ;_ @_ "/>
  </numFmts>
  <fonts count="5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9"/>
      <color rgb="FF003657"/>
      <name val="Arial"/>
      <family val="2"/>
    </font>
    <font>
      <sz val="9"/>
      <color rgb="FF003657"/>
      <name val="Arial"/>
      <family val="2"/>
    </font>
    <font>
      <b/>
      <u/>
      <sz val="12"/>
      <color theme="1"/>
      <name val="Eras Medium ITC"/>
      <family val="2"/>
    </font>
    <font>
      <sz val="11"/>
      <name val="Calibri"/>
      <family val="2"/>
      <scheme val="minor"/>
    </font>
    <font>
      <vertAlign val="subscript"/>
      <sz val="11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sz val="8"/>
      <color theme="6" tint="-0.249977111117893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9"/>
      <color indexed="81"/>
      <name val="Tahoma"/>
      <family val="2"/>
    </font>
    <font>
      <b/>
      <sz val="11"/>
      <color theme="0"/>
      <name val="Arial"/>
      <family val="2"/>
    </font>
    <font>
      <i/>
      <sz val="9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Eras Medium ITC"/>
      <family val="2"/>
    </font>
    <font>
      <b/>
      <sz val="11"/>
      <color rgb="FFFF0000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8"/>
      <color theme="0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u/>
      <sz val="12"/>
      <color theme="1"/>
      <name val="Eras Medium ITC"/>
      <family val="2"/>
    </font>
    <font>
      <sz val="16"/>
      <color theme="1"/>
      <name val="Calibri"/>
      <family val="2"/>
      <scheme val="minor"/>
    </font>
    <font>
      <vertAlign val="subscript"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vertAlign val="subscript"/>
      <sz val="11"/>
      <name val="Calibri"/>
      <family val="2"/>
      <scheme val="minor"/>
    </font>
    <font>
      <u/>
      <sz val="8"/>
      <color theme="10"/>
      <name val="Calibri"/>
      <family val="2"/>
      <scheme val="minor"/>
    </font>
    <font>
      <b/>
      <sz val="10"/>
      <color theme="1"/>
      <name val="Arial"/>
      <family val="2"/>
    </font>
    <font>
      <b/>
      <vertAlign val="subscript"/>
      <sz val="10"/>
      <color theme="1"/>
      <name val="Arial"/>
      <family val="2"/>
    </font>
    <font>
      <vertAlign val="subscript"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6" tint="-0.249977111117893"/>
      <name val="Calibri"/>
      <family val="2"/>
      <scheme val="minor"/>
    </font>
    <font>
      <u/>
      <sz val="10"/>
      <color theme="10"/>
      <name val="Calibri"/>
      <family val="2"/>
      <scheme val="minor"/>
    </font>
    <font>
      <vertAlign val="subscript"/>
      <sz val="11"/>
      <color theme="0"/>
      <name val="Arial"/>
      <family val="2"/>
    </font>
    <font>
      <b/>
      <sz val="9"/>
      <color theme="1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b/>
      <sz val="11"/>
      <color theme="1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365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4D2F2"/>
        <bgColor indexed="64"/>
      </patternFill>
    </fill>
    <fill>
      <patternFill patternType="solid">
        <fgColor rgb="FFD9EBC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4BFF4B"/>
        <bgColor indexed="64"/>
      </patternFill>
    </fill>
    <fill>
      <patternFill patternType="solid">
        <fgColor rgb="FF00FF00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rgb="FFFFFFFF"/>
      </right>
      <top/>
      <bottom/>
      <diagonal/>
    </border>
    <border>
      <left style="dotted">
        <color rgb="FFFFFFFF"/>
      </left>
      <right/>
      <top/>
      <bottom/>
      <diagonal/>
    </border>
    <border>
      <left style="dotted">
        <color rgb="FF003657"/>
      </left>
      <right/>
      <top style="dotted">
        <color rgb="FF003657"/>
      </top>
      <bottom style="dotted">
        <color rgb="FF003657"/>
      </bottom>
      <diagonal/>
    </border>
    <border>
      <left/>
      <right/>
      <top style="dotted">
        <color rgb="FF003657"/>
      </top>
      <bottom style="dotted">
        <color rgb="FF003657"/>
      </bottom>
      <diagonal/>
    </border>
    <border>
      <left/>
      <right style="dotted">
        <color rgb="FF003657"/>
      </right>
      <top style="dotted">
        <color rgb="FF003657"/>
      </top>
      <bottom style="dotted">
        <color rgb="FF003657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dotted">
        <color rgb="FF003657"/>
      </left>
      <right style="dotted">
        <color rgb="FF003657"/>
      </right>
      <top/>
      <bottom style="dotted">
        <color rgb="FF003657"/>
      </bottom>
      <diagonal/>
    </border>
    <border>
      <left/>
      <right style="dotted">
        <color rgb="FF003657"/>
      </right>
      <top/>
      <bottom style="dotted">
        <color rgb="FF00365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1" fillId="0" borderId="0"/>
  </cellStyleXfs>
  <cellXfs count="383">
    <xf numFmtId="0" fontId="0" fillId="0" borderId="0" xfId="0"/>
    <xf numFmtId="0" fontId="0" fillId="2" borderId="0" xfId="0" applyFill="1"/>
    <xf numFmtId="0" fontId="2" fillId="3" borderId="0" xfId="0" applyFont="1" applyFill="1"/>
    <xf numFmtId="0" fontId="0" fillId="4" borderId="0" xfId="0" applyFill="1"/>
    <xf numFmtId="0" fontId="0" fillId="5" borderId="0" xfId="0" applyFill="1"/>
    <xf numFmtId="0" fontId="7" fillId="2" borderId="0" xfId="0" applyFont="1" applyFill="1"/>
    <xf numFmtId="0" fontId="0" fillId="2" borderId="0" xfId="0" applyFill="1" applyAlignment="1">
      <alignment horizontal="left" vertical="top"/>
    </xf>
    <xf numFmtId="0" fontId="4" fillId="6" borderId="8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 wrapText="1"/>
    </xf>
    <xf numFmtId="0" fontId="4" fillId="7" borderId="11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 wrapText="1"/>
    </xf>
    <xf numFmtId="0" fontId="4" fillId="7" borderId="12" xfId="0" applyFont="1" applyFill="1" applyBorder="1" applyAlignment="1">
      <alignment horizontal="center" vertical="center" wrapText="1"/>
    </xf>
    <xf numFmtId="0" fontId="0" fillId="2" borderId="13" xfId="0" applyFont="1" applyFill="1" applyBorder="1" applyAlignment="1">
      <alignment horizontal="left" vertical="center" wrapText="1"/>
    </xf>
    <xf numFmtId="0" fontId="0" fillId="2" borderId="5" xfId="0" applyFont="1" applyFill="1" applyBorder="1" applyAlignment="1">
      <alignment horizontal="left" vertical="center" wrapText="1"/>
    </xf>
    <xf numFmtId="0" fontId="0" fillId="2" borderId="6" xfId="0" applyFont="1" applyFill="1" applyBorder="1" applyAlignment="1">
      <alignment horizontal="left" vertical="center" wrapText="1"/>
    </xf>
    <xf numFmtId="0" fontId="0" fillId="2" borderId="14" xfId="0" applyFont="1" applyFill="1" applyBorder="1" applyAlignment="1">
      <alignment horizontal="left" vertical="center" wrapText="1"/>
    </xf>
    <xf numFmtId="0" fontId="0" fillId="2" borderId="15" xfId="0" applyFont="1" applyFill="1" applyBorder="1" applyAlignment="1">
      <alignment horizontal="left" vertical="center" wrapText="1"/>
    </xf>
    <xf numFmtId="0" fontId="0" fillId="2" borderId="16" xfId="0" applyFill="1" applyBorder="1"/>
    <xf numFmtId="0" fontId="0" fillId="2" borderId="17" xfId="0" applyFont="1" applyFill="1" applyBorder="1" applyAlignment="1">
      <alignment horizontal="left" vertical="center" wrapText="1"/>
    </xf>
    <xf numFmtId="0" fontId="0" fillId="2" borderId="18" xfId="0" applyFont="1" applyFill="1" applyBorder="1" applyAlignment="1">
      <alignment horizontal="left" vertical="center" wrapText="1"/>
    </xf>
    <xf numFmtId="0" fontId="0" fillId="2" borderId="19" xfId="0" applyFont="1" applyFill="1" applyBorder="1" applyAlignment="1">
      <alignment horizontal="left" vertical="center" wrapText="1"/>
    </xf>
    <xf numFmtId="0" fontId="0" fillId="2" borderId="21" xfId="0" applyFill="1" applyBorder="1"/>
    <xf numFmtId="0" fontId="3" fillId="2" borderId="0" xfId="0" applyFont="1" applyFill="1"/>
    <xf numFmtId="0" fontId="0" fillId="2" borderId="0" xfId="0" applyFill="1" applyAlignment="1">
      <alignment horizontal="left" vertical="top" wrapText="1"/>
    </xf>
    <xf numFmtId="0" fontId="8" fillId="8" borderId="22" xfId="0" applyFont="1" applyFill="1" applyBorder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0" fontId="8" fillId="8" borderId="23" xfId="0" applyFont="1" applyFill="1" applyBorder="1" applyAlignment="1">
      <alignment horizontal="center" vertical="center" wrapText="1"/>
    </xf>
    <xf numFmtId="0" fontId="0" fillId="2" borderId="27" xfId="0" applyFont="1" applyFill="1" applyBorder="1" applyAlignment="1">
      <alignment horizontal="left" vertical="center" wrapText="1"/>
    </xf>
    <xf numFmtId="0" fontId="0" fillId="2" borderId="10" xfId="0" applyFont="1" applyFill="1" applyBorder="1" applyAlignment="1">
      <alignment horizontal="left" vertical="center" wrapText="1"/>
    </xf>
    <xf numFmtId="0" fontId="0" fillId="2" borderId="11" xfId="0" applyFont="1" applyFill="1" applyBorder="1" applyAlignment="1">
      <alignment horizontal="left" vertical="center" wrapText="1"/>
    </xf>
    <xf numFmtId="0" fontId="0" fillId="2" borderId="12" xfId="0" applyFill="1" applyBorder="1"/>
    <xf numFmtId="0" fontId="9" fillId="0" borderId="29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left" vertical="center" wrapText="1"/>
    </xf>
    <xf numFmtId="0" fontId="0" fillId="2" borderId="10" xfId="0" applyFill="1" applyBorder="1"/>
    <xf numFmtId="0" fontId="11" fillId="2" borderId="0" xfId="0" applyFont="1" applyFill="1"/>
    <xf numFmtId="0" fontId="5" fillId="3" borderId="0" xfId="0" applyFont="1" applyFill="1"/>
    <xf numFmtId="0" fontId="12" fillId="2" borderId="0" xfId="0" applyFont="1" applyFill="1"/>
    <xf numFmtId="0" fontId="4" fillId="6" borderId="19" xfId="0" applyFont="1" applyFill="1" applyBorder="1" applyAlignment="1">
      <alignment horizontal="center"/>
    </xf>
    <xf numFmtId="0" fontId="0" fillId="2" borderId="19" xfId="0" applyFill="1" applyBorder="1" applyAlignment="1">
      <alignment horizontal="left" vertical="center" wrapText="1"/>
    </xf>
    <xf numFmtId="0" fontId="0" fillId="2" borderId="19" xfId="0" applyFill="1" applyBorder="1" applyAlignment="1">
      <alignment vertical="center" wrapText="1"/>
    </xf>
    <xf numFmtId="0" fontId="0" fillId="2" borderId="19" xfId="0" applyFill="1" applyBorder="1" applyAlignment="1">
      <alignment horizontal="justify" vertical="center" wrapText="1"/>
    </xf>
    <xf numFmtId="0" fontId="4" fillId="2" borderId="0" xfId="0" applyFont="1" applyFill="1"/>
    <xf numFmtId="0" fontId="0" fillId="2" borderId="19" xfId="0" applyFill="1" applyBorder="1"/>
    <xf numFmtId="0" fontId="4" fillId="6" borderId="40" xfId="0" applyFont="1" applyFill="1" applyBorder="1" applyAlignment="1">
      <alignment horizontal="center" vertical="center" wrapText="1"/>
    </xf>
    <xf numFmtId="0" fontId="4" fillId="6" borderId="41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0" fillId="2" borderId="5" xfId="0" applyFill="1" applyBorder="1"/>
    <xf numFmtId="0" fontId="0" fillId="2" borderId="6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31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164" fontId="0" fillId="0" borderId="7" xfId="1" applyFont="1" applyBorder="1"/>
    <xf numFmtId="0" fontId="0" fillId="2" borderId="18" xfId="0" applyFill="1" applyBorder="1"/>
    <xf numFmtId="0" fontId="0" fillId="2" borderId="19" xfId="0" applyFill="1" applyBorder="1" applyAlignment="1">
      <alignment horizontal="center"/>
    </xf>
    <xf numFmtId="166" fontId="16" fillId="2" borderId="0" xfId="2" applyNumberFormat="1" applyFont="1" applyFill="1" applyBorder="1" applyAlignment="1">
      <alignment horizontal="center"/>
    </xf>
    <xf numFmtId="166" fontId="0" fillId="2" borderId="0" xfId="2" applyNumberFormat="1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164" fontId="0" fillId="0" borderId="21" xfId="1" applyFont="1" applyBorder="1"/>
    <xf numFmtId="0" fontId="0" fillId="2" borderId="33" xfId="0" applyFill="1" applyBorder="1"/>
    <xf numFmtId="0" fontId="0" fillId="2" borderId="8" xfId="0" applyFill="1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12" xfId="1" applyFont="1" applyBorder="1"/>
    <xf numFmtId="167" fontId="3" fillId="2" borderId="0" xfId="1" applyNumberFormat="1" applyFont="1" applyFill="1" applyBorder="1" applyAlignment="1">
      <alignment horizontal="center"/>
    </xf>
    <xf numFmtId="0" fontId="0" fillId="2" borderId="0" xfId="0" applyFill="1" applyBorder="1" applyAlignment="1">
      <alignment horizontal="justify" wrapText="1"/>
    </xf>
    <xf numFmtId="0" fontId="0" fillId="2" borderId="0" xfId="0" applyFill="1" applyAlignment="1">
      <alignment horizontal="justify" wrapText="1"/>
    </xf>
    <xf numFmtId="164" fontId="0" fillId="2" borderId="0" xfId="1" applyFont="1" applyFill="1"/>
    <xf numFmtId="168" fontId="17" fillId="2" borderId="0" xfId="1" applyNumberFormat="1" applyFont="1" applyFill="1"/>
    <xf numFmtId="0" fontId="17" fillId="2" borderId="0" xfId="0" applyFont="1" applyFill="1"/>
    <xf numFmtId="169" fontId="17" fillId="2" borderId="0" xfId="0" applyNumberFormat="1" applyFont="1" applyFill="1"/>
    <xf numFmtId="0" fontId="0" fillId="2" borderId="11" xfId="0" applyFill="1" applyBorder="1" applyAlignment="1">
      <alignment horizontal="center"/>
    </xf>
    <xf numFmtId="0" fontId="19" fillId="12" borderId="19" xfId="0" applyFont="1" applyFill="1" applyBorder="1" applyAlignment="1">
      <alignment horizontal="center" vertical="center" wrapText="1"/>
    </xf>
    <xf numFmtId="0" fontId="20" fillId="13" borderId="19" xfId="0" applyFont="1" applyFill="1" applyBorder="1" applyAlignment="1">
      <alignment horizontal="left" vertical="top" wrapText="1"/>
    </xf>
    <xf numFmtId="0" fontId="19" fillId="12" borderId="20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/>
    </xf>
    <xf numFmtId="0" fontId="23" fillId="2" borderId="6" xfId="0" applyFont="1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23" fillId="2" borderId="19" xfId="0" applyFont="1" applyFill="1" applyBorder="1" applyAlignment="1">
      <alignment horizontal="center"/>
    </xf>
    <xf numFmtId="0" fontId="0" fillId="2" borderId="33" xfId="0" applyFill="1" applyBorder="1" applyAlignment="1">
      <alignment horizontal="center"/>
    </xf>
    <xf numFmtId="0" fontId="23" fillId="2" borderId="8" xfId="0" applyFont="1" applyFill="1" applyBorder="1" applyAlignment="1">
      <alignment horizontal="center"/>
    </xf>
    <xf numFmtId="0" fontId="24" fillId="2" borderId="6" xfId="0" applyFont="1" applyFill="1" applyBorder="1" applyAlignment="1">
      <alignment horizontal="center"/>
    </xf>
    <xf numFmtId="0" fontId="24" fillId="2" borderId="19" xfId="0" applyFon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24" fillId="2" borderId="11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24" fillId="2" borderId="15" xfId="0" applyFont="1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24" fillId="2" borderId="8" xfId="0" applyFont="1" applyFill="1" applyBorder="1" applyAlignment="1">
      <alignment horizontal="center"/>
    </xf>
    <xf numFmtId="0" fontId="25" fillId="0" borderId="5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 wrapText="1"/>
    </xf>
    <xf numFmtId="9" fontId="25" fillId="0" borderId="10" xfId="0" applyNumberFormat="1" applyFont="1" applyBorder="1" applyAlignment="1">
      <alignment horizontal="center"/>
    </xf>
    <xf numFmtId="9" fontId="25" fillId="0" borderId="11" xfId="0" applyNumberFormat="1" applyFont="1" applyBorder="1" applyAlignment="1">
      <alignment horizontal="center"/>
    </xf>
    <xf numFmtId="9" fontId="25" fillId="0" borderId="12" xfId="0" applyNumberFormat="1" applyFont="1" applyBorder="1" applyAlignment="1">
      <alignment horizontal="center"/>
    </xf>
    <xf numFmtId="166" fontId="0" fillId="2" borderId="6" xfId="2" applyNumberFormat="1" applyFont="1" applyFill="1" applyBorder="1"/>
    <xf numFmtId="1" fontId="0" fillId="2" borderId="6" xfId="2" applyNumberFormat="1" applyFont="1" applyFill="1" applyBorder="1" applyAlignment="1">
      <alignment horizontal="center"/>
    </xf>
    <xf numFmtId="166" fontId="0" fillId="2" borderId="19" xfId="2" applyNumberFormat="1" applyFont="1" applyFill="1" applyBorder="1"/>
    <xf numFmtId="1" fontId="0" fillId="2" borderId="19" xfId="2" applyNumberFormat="1" applyFont="1" applyFill="1" applyBorder="1" applyAlignment="1">
      <alignment horizontal="center"/>
    </xf>
    <xf numFmtId="166" fontId="0" fillId="2" borderId="8" xfId="2" applyNumberFormat="1" applyFont="1" applyFill="1" applyBorder="1"/>
    <xf numFmtId="1" fontId="0" fillId="2" borderId="8" xfId="2" applyNumberFormat="1" applyFont="1" applyFill="1" applyBorder="1" applyAlignment="1">
      <alignment horizontal="center"/>
    </xf>
    <xf numFmtId="166" fontId="0" fillId="2" borderId="11" xfId="2" applyNumberFormat="1" applyFont="1" applyFill="1" applyBorder="1"/>
    <xf numFmtId="1" fontId="0" fillId="2" borderId="11" xfId="2" applyNumberFormat="1" applyFont="1" applyFill="1" applyBorder="1" applyAlignment="1">
      <alignment horizontal="center"/>
    </xf>
    <xf numFmtId="166" fontId="0" fillId="2" borderId="15" xfId="2" applyNumberFormat="1" applyFont="1" applyFill="1" applyBorder="1"/>
    <xf numFmtId="1" fontId="0" fillId="2" borderId="15" xfId="2" applyNumberFormat="1" applyFont="1" applyFill="1" applyBorder="1" applyAlignment="1">
      <alignment horizontal="center"/>
    </xf>
    <xf numFmtId="0" fontId="0" fillId="0" borderId="36" xfId="0" applyBorder="1" applyAlignment="1">
      <alignment horizontal="center" vertical="center" wrapText="1"/>
    </xf>
    <xf numFmtId="9" fontId="0" fillId="0" borderId="38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9" fontId="0" fillId="0" borderId="1" xfId="2" applyFont="1" applyBorder="1" applyAlignment="1">
      <alignment horizontal="center"/>
    </xf>
    <xf numFmtId="9" fontId="0" fillId="0" borderId="39" xfId="0" applyNumberFormat="1" applyBorder="1" applyAlignment="1">
      <alignment horizontal="center"/>
    </xf>
    <xf numFmtId="0" fontId="0" fillId="13" borderId="19" xfId="0" applyFill="1" applyBorder="1" applyAlignment="1">
      <alignment horizontal="center"/>
    </xf>
    <xf numFmtId="164" fontId="0" fillId="0" borderId="19" xfId="1" applyNumberFormat="1" applyFont="1" applyBorder="1" applyAlignment="1">
      <alignment horizontal="center"/>
    </xf>
    <xf numFmtId="164" fontId="0" fillId="2" borderId="7" xfId="1" applyFont="1" applyFill="1" applyBorder="1"/>
    <xf numFmtId="164" fontId="0" fillId="2" borderId="21" xfId="1" applyFont="1" applyFill="1" applyBorder="1"/>
    <xf numFmtId="164" fontId="0" fillId="2" borderId="12" xfId="1" applyFont="1" applyFill="1" applyBorder="1"/>
    <xf numFmtId="0" fontId="0" fillId="2" borderId="7" xfId="0" applyFill="1" applyBorder="1"/>
    <xf numFmtId="0" fontId="0" fillId="0" borderId="31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9" fontId="0" fillId="0" borderId="1" xfId="2" applyFont="1" applyBorder="1"/>
    <xf numFmtId="9" fontId="0" fillId="0" borderId="39" xfId="2" applyFont="1" applyBorder="1"/>
    <xf numFmtId="0" fontId="6" fillId="2" borderId="0" xfId="0" applyFont="1" applyFill="1"/>
    <xf numFmtId="0" fontId="27" fillId="2" borderId="0" xfId="0" applyFont="1" applyFill="1"/>
    <xf numFmtId="167" fontId="0" fillId="2" borderId="0" xfId="1" applyNumberFormat="1" applyFont="1" applyFill="1"/>
    <xf numFmtId="0" fontId="0" fillId="2" borderId="19" xfId="0" applyFill="1" applyBorder="1" applyAlignment="1">
      <alignment horizontal="center"/>
    </xf>
    <xf numFmtId="170" fontId="0" fillId="0" borderId="19" xfId="0" applyNumberFormat="1" applyBorder="1" applyAlignment="1">
      <alignment horizontal="center"/>
    </xf>
    <xf numFmtId="0" fontId="0" fillId="6" borderId="19" xfId="0" applyFont="1" applyFill="1" applyBorder="1" applyAlignment="1">
      <alignment horizontal="center" vertical="center" wrapText="1"/>
    </xf>
    <xf numFmtId="0" fontId="0" fillId="2" borderId="14" xfId="0" applyFill="1" applyBorder="1"/>
    <xf numFmtId="0" fontId="0" fillId="2" borderId="15" xfId="0" applyFill="1" applyBorder="1"/>
    <xf numFmtId="0" fontId="4" fillId="6" borderId="45" xfId="0" applyFont="1" applyFill="1" applyBorder="1" applyAlignment="1">
      <alignment horizontal="center" vertical="center"/>
    </xf>
    <xf numFmtId="0" fontId="4" fillId="6" borderId="46" xfId="0" applyFont="1" applyFill="1" applyBorder="1" applyAlignment="1">
      <alignment horizontal="center" vertical="center" wrapText="1"/>
    </xf>
    <xf numFmtId="0" fontId="4" fillId="6" borderId="47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164" fontId="0" fillId="0" borderId="6" xfId="1" applyNumberFormat="1" applyFont="1" applyBorder="1"/>
    <xf numFmtId="164" fontId="0" fillId="0" borderId="19" xfId="1" applyNumberFormat="1" applyFont="1" applyBorder="1"/>
    <xf numFmtId="164" fontId="0" fillId="0" borderId="11" xfId="1" applyNumberFormat="1" applyFont="1" applyBorder="1"/>
    <xf numFmtId="0" fontId="4" fillId="6" borderId="33" xfId="0" applyFont="1" applyFill="1" applyBorder="1" applyAlignment="1">
      <alignment horizontal="center" vertical="center" wrapText="1"/>
    </xf>
    <xf numFmtId="0" fontId="4" fillId="6" borderId="34" xfId="0" applyFont="1" applyFill="1" applyBorder="1" applyAlignment="1">
      <alignment horizontal="center" vertical="center" wrapText="1"/>
    </xf>
    <xf numFmtId="0" fontId="21" fillId="2" borderId="19" xfId="0" applyFont="1" applyFill="1" applyBorder="1" applyAlignment="1">
      <alignment horizontal="center" vertical="center"/>
    </xf>
    <xf numFmtId="0" fontId="4" fillId="14" borderId="19" xfId="0" applyFont="1" applyFill="1" applyBorder="1" applyAlignment="1">
      <alignment horizontal="center"/>
    </xf>
    <xf numFmtId="0" fontId="4" fillId="15" borderId="19" xfId="0" applyFont="1" applyFill="1" applyBorder="1" applyAlignment="1">
      <alignment horizontal="center"/>
    </xf>
    <xf numFmtId="0" fontId="4" fillId="6" borderId="19" xfId="0" applyFont="1" applyFill="1" applyBorder="1" applyAlignment="1">
      <alignment horizontal="center" vertical="center"/>
    </xf>
    <xf numFmtId="0" fontId="0" fillId="16" borderId="19" xfId="0" applyFill="1" applyBorder="1" applyAlignment="1">
      <alignment horizontal="center"/>
    </xf>
    <xf numFmtId="0" fontId="4" fillId="6" borderId="19" xfId="0" applyFont="1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/>
    </xf>
    <xf numFmtId="0" fontId="31" fillId="2" borderId="0" xfId="0" applyFont="1" applyFill="1"/>
    <xf numFmtId="0" fontId="0" fillId="2" borderId="19" xfId="0" applyFill="1" applyBorder="1" applyAlignment="1">
      <alignment horizontal="center"/>
    </xf>
    <xf numFmtId="167" fontId="0" fillId="2" borderId="19" xfId="1" applyNumberFormat="1" applyFont="1" applyFill="1" applyBorder="1"/>
    <xf numFmtId="164" fontId="0" fillId="2" borderId="0" xfId="1" applyNumberFormat="1" applyFont="1" applyFill="1"/>
    <xf numFmtId="0" fontId="4" fillId="4" borderId="19" xfId="0" applyFont="1" applyFill="1" applyBorder="1" applyAlignment="1">
      <alignment horizontal="center"/>
    </xf>
    <xf numFmtId="0" fontId="0" fillId="2" borderId="0" xfId="0" applyFill="1" applyBorder="1"/>
    <xf numFmtId="0" fontId="0" fillId="2" borderId="19" xfId="0" applyFill="1" applyBorder="1" applyAlignment="1">
      <alignment horizontal="center"/>
    </xf>
    <xf numFmtId="0" fontId="4" fillId="17" borderId="45" xfId="0" applyFont="1" applyFill="1" applyBorder="1" applyAlignment="1">
      <alignment horizontal="center" vertical="center"/>
    </xf>
    <xf numFmtId="0" fontId="4" fillId="17" borderId="46" xfId="0" applyFont="1" applyFill="1" applyBorder="1" applyAlignment="1">
      <alignment horizontal="center" vertical="center" wrapText="1"/>
    </xf>
    <xf numFmtId="0" fontId="4" fillId="17" borderId="47" xfId="0" applyFont="1" applyFill="1" applyBorder="1" applyAlignment="1">
      <alignment horizontal="center" vertical="center" wrapText="1"/>
    </xf>
    <xf numFmtId="0" fontId="4" fillId="18" borderId="45" xfId="0" applyFont="1" applyFill="1" applyBorder="1" applyAlignment="1">
      <alignment horizontal="center" vertical="center"/>
    </xf>
    <xf numFmtId="0" fontId="4" fillId="18" borderId="46" xfId="0" applyFont="1" applyFill="1" applyBorder="1" applyAlignment="1">
      <alignment horizontal="center" vertical="center" wrapText="1"/>
    </xf>
    <xf numFmtId="0" fontId="4" fillId="18" borderId="47" xfId="0" applyFont="1" applyFill="1" applyBorder="1" applyAlignment="1">
      <alignment horizontal="center" vertical="center" wrapText="1"/>
    </xf>
    <xf numFmtId="0" fontId="4" fillId="10" borderId="45" xfId="0" applyFont="1" applyFill="1" applyBorder="1" applyAlignment="1">
      <alignment horizontal="center" vertical="center"/>
    </xf>
    <xf numFmtId="0" fontId="4" fillId="10" borderId="46" xfId="0" applyFont="1" applyFill="1" applyBorder="1" applyAlignment="1">
      <alignment horizontal="center" vertical="center" wrapText="1"/>
    </xf>
    <xf numFmtId="0" fontId="4" fillId="10" borderId="47" xfId="0" applyFont="1" applyFill="1" applyBorder="1" applyAlignment="1">
      <alignment horizontal="center" vertical="center" wrapText="1"/>
    </xf>
    <xf numFmtId="0" fontId="4" fillId="19" borderId="45" xfId="0" applyFont="1" applyFill="1" applyBorder="1" applyAlignment="1">
      <alignment horizontal="center" vertical="center"/>
    </xf>
    <xf numFmtId="0" fontId="4" fillId="19" borderId="46" xfId="0" applyFont="1" applyFill="1" applyBorder="1" applyAlignment="1">
      <alignment horizontal="center" vertical="center" wrapText="1"/>
    </xf>
    <xf numFmtId="0" fontId="4" fillId="19" borderId="47" xfId="0" applyFont="1" applyFill="1" applyBorder="1" applyAlignment="1">
      <alignment horizontal="center" vertical="center" wrapText="1"/>
    </xf>
    <xf numFmtId="0" fontId="4" fillId="18" borderId="2" xfId="0" applyFont="1" applyFill="1" applyBorder="1" applyAlignment="1">
      <alignment horizontal="center" vertical="center" wrapText="1"/>
    </xf>
    <xf numFmtId="0" fontId="4" fillId="18" borderId="40" xfId="0" applyFont="1" applyFill="1" applyBorder="1" applyAlignment="1">
      <alignment horizontal="center" vertical="center" wrapText="1"/>
    </xf>
    <xf numFmtId="0" fontId="4" fillId="18" borderId="41" xfId="0" applyFont="1" applyFill="1" applyBorder="1" applyAlignment="1">
      <alignment horizontal="center" vertical="center" wrapText="1"/>
    </xf>
    <xf numFmtId="0" fontId="4" fillId="20" borderId="45" xfId="0" applyFont="1" applyFill="1" applyBorder="1" applyAlignment="1">
      <alignment horizontal="center" vertical="center"/>
    </xf>
    <xf numFmtId="0" fontId="4" fillId="20" borderId="46" xfId="0" applyFont="1" applyFill="1" applyBorder="1" applyAlignment="1">
      <alignment horizontal="center" vertical="center" wrapText="1"/>
    </xf>
    <xf numFmtId="0" fontId="4" fillId="20" borderId="47" xfId="0" applyFont="1" applyFill="1" applyBorder="1" applyAlignment="1">
      <alignment horizontal="center" vertical="center" wrapText="1"/>
    </xf>
    <xf numFmtId="0" fontId="0" fillId="2" borderId="53" xfId="0" applyFill="1" applyBorder="1"/>
    <xf numFmtId="0" fontId="0" fillId="2" borderId="54" xfId="0" applyFill="1" applyBorder="1"/>
    <xf numFmtId="0" fontId="4" fillId="6" borderId="52" xfId="0" applyFont="1" applyFill="1" applyBorder="1" applyAlignment="1">
      <alignment horizontal="center" vertical="center" wrapText="1"/>
    </xf>
    <xf numFmtId="0" fontId="0" fillId="2" borderId="0" xfId="0" applyFill="1" applyAlignment="1">
      <alignment vertical="top"/>
    </xf>
    <xf numFmtId="0" fontId="35" fillId="2" borderId="0" xfId="0" applyFont="1" applyFill="1" applyAlignment="1">
      <alignment vertical="center"/>
    </xf>
    <xf numFmtId="0" fontId="39" fillId="2" borderId="0" xfId="3" applyFont="1" applyFill="1" applyBorder="1"/>
    <xf numFmtId="0" fontId="25" fillId="2" borderId="0" xfId="0" applyFont="1" applyFill="1"/>
    <xf numFmtId="0" fontId="40" fillId="6" borderId="19" xfId="4" applyFont="1" applyFill="1" applyBorder="1" applyAlignment="1">
      <alignment horizontal="center" vertical="center" wrapText="1"/>
    </xf>
    <xf numFmtId="0" fontId="40" fillId="6" borderId="19" xfId="4" applyFont="1" applyFill="1" applyBorder="1" applyAlignment="1">
      <alignment horizontal="center" vertical="center"/>
    </xf>
    <xf numFmtId="11" fontId="0" fillId="2" borderId="19" xfId="0" applyNumberFormat="1" applyFill="1" applyBorder="1" applyAlignment="1">
      <alignment horizontal="center"/>
    </xf>
    <xf numFmtId="0" fontId="0" fillId="0" borderId="19" xfId="4" applyFont="1" applyBorder="1" applyAlignment="1">
      <alignment horizontal="center" vertical="center"/>
    </xf>
    <xf numFmtId="0" fontId="43" fillId="0" borderId="0" xfId="4" applyFont="1" applyAlignment="1">
      <alignment vertical="center"/>
    </xf>
    <xf numFmtId="164" fontId="0" fillId="2" borderId="0" xfId="0" applyNumberFormat="1" applyFill="1"/>
    <xf numFmtId="0" fontId="4" fillId="14" borderId="19" xfId="0" applyFont="1" applyFill="1" applyBorder="1" applyAlignment="1">
      <alignment horizontal="center"/>
    </xf>
    <xf numFmtId="0" fontId="4" fillId="15" borderId="19" xfId="0" applyFon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4" fillId="2" borderId="19" xfId="0" applyFont="1" applyFill="1" applyBorder="1"/>
    <xf numFmtId="11" fontId="4" fillId="2" borderId="19" xfId="0" applyNumberFormat="1" applyFon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55" xfId="0" applyFill="1" applyBorder="1"/>
    <xf numFmtId="167" fontId="21" fillId="2" borderId="19" xfId="1" applyNumberFormat="1" applyFont="1" applyFill="1" applyBorder="1" applyAlignment="1">
      <alignment horizontal="center" vertical="center"/>
    </xf>
    <xf numFmtId="14" fontId="21" fillId="2" borderId="19" xfId="0" applyNumberFormat="1" applyFont="1" applyFill="1" applyBorder="1" applyAlignment="1">
      <alignment horizontal="center" vertical="center"/>
    </xf>
    <xf numFmtId="164" fontId="0" fillId="2" borderId="0" xfId="1" applyFont="1" applyFill="1" applyBorder="1"/>
    <xf numFmtId="165" fontId="0" fillId="2" borderId="0" xfId="1" applyNumberFormat="1" applyFont="1" applyFill="1" applyBorder="1"/>
    <xf numFmtId="166" fontId="3" fillId="2" borderId="15" xfId="2" applyNumberFormat="1" applyFont="1" applyFill="1" applyBorder="1"/>
    <xf numFmtId="166" fontId="3" fillId="2" borderId="6" xfId="2" applyNumberFormat="1" applyFont="1" applyFill="1" applyBorder="1"/>
    <xf numFmtId="166" fontId="3" fillId="2" borderId="56" xfId="2" applyNumberFormat="1" applyFont="1" applyFill="1" applyBorder="1"/>
    <xf numFmtId="0" fontId="0" fillId="14" borderId="0" xfId="0" applyFill="1"/>
    <xf numFmtId="0" fontId="4" fillId="14" borderId="0" xfId="0" applyFont="1" applyFill="1"/>
    <xf numFmtId="165" fontId="0" fillId="21" borderId="15" xfId="1" applyNumberFormat="1" applyFont="1" applyFill="1" applyBorder="1"/>
    <xf numFmtId="165" fontId="12" fillId="21" borderId="16" xfId="1" applyNumberFormat="1" applyFont="1" applyFill="1" applyBorder="1" applyAlignment="1">
      <alignment horizontal="center"/>
    </xf>
    <xf numFmtId="165" fontId="0" fillId="21" borderId="19" xfId="1" applyNumberFormat="1" applyFont="1" applyFill="1" applyBorder="1"/>
    <xf numFmtId="165" fontId="12" fillId="21" borderId="21" xfId="1" applyNumberFormat="1" applyFont="1" applyFill="1" applyBorder="1" applyAlignment="1">
      <alignment horizontal="center"/>
    </xf>
    <xf numFmtId="165" fontId="0" fillId="21" borderId="21" xfId="1" applyNumberFormat="1" applyFont="1" applyFill="1" applyBorder="1"/>
    <xf numFmtId="165" fontId="0" fillId="21" borderId="8" xfId="1" applyNumberFormat="1" applyFont="1" applyFill="1" applyBorder="1"/>
    <xf numFmtId="165" fontId="0" fillId="21" borderId="34" xfId="1" applyNumberFormat="1" applyFont="1" applyFill="1" applyBorder="1"/>
    <xf numFmtId="165" fontId="0" fillId="21" borderId="6" xfId="1" applyNumberFormat="1" applyFont="1" applyFill="1" applyBorder="1"/>
    <xf numFmtId="165" fontId="12" fillId="21" borderId="7" xfId="1" applyNumberFormat="1" applyFont="1" applyFill="1" applyBorder="1" applyAlignment="1">
      <alignment horizontal="center"/>
    </xf>
    <xf numFmtId="165" fontId="0" fillId="21" borderId="11" xfId="1" applyNumberFormat="1" applyFont="1" applyFill="1" applyBorder="1"/>
    <xf numFmtId="165" fontId="0" fillId="21" borderId="12" xfId="1" applyNumberFormat="1" applyFont="1" applyFill="1" applyBorder="1"/>
    <xf numFmtId="165" fontId="3" fillId="21" borderId="7" xfId="1" applyNumberFormat="1" applyFont="1" applyFill="1" applyBorder="1" applyAlignment="1">
      <alignment horizontal="center"/>
    </xf>
    <xf numFmtId="165" fontId="3" fillId="21" borderId="21" xfId="1" applyNumberFormat="1" applyFont="1" applyFill="1" applyBorder="1" applyAlignment="1">
      <alignment horizontal="center"/>
    </xf>
    <xf numFmtId="165" fontId="3" fillId="21" borderId="12" xfId="1" applyNumberFormat="1" applyFont="1" applyFill="1" applyBorder="1" applyAlignment="1">
      <alignment horizontal="center"/>
    </xf>
    <xf numFmtId="165" fontId="3" fillId="21" borderId="16" xfId="1" applyNumberFormat="1" applyFont="1" applyFill="1" applyBorder="1" applyAlignment="1">
      <alignment horizontal="center"/>
    </xf>
    <xf numFmtId="165" fontId="3" fillId="21" borderId="34" xfId="1" applyNumberFormat="1" applyFont="1" applyFill="1" applyBorder="1" applyAlignment="1">
      <alignment horizontal="center"/>
    </xf>
    <xf numFmtId="164" fontId="0" fillId="21" borderId="7" xfId="1" applyFont="1" applyFill="1" applyBorder="1"/>
    <xf numFmtId="164" fontId="0" fillId="21" borderId="21" xfId="1" applyFont="1" applyFill="1" applyBorder="1"/>
    <xf numFmtId="164" fontId="0" fillId="21" borderId="34" xfId="1" applyFont="1" applyFill="1" applyBorder="1"/>
    <xf numFmtId="164" fontId="0" fillId="21" borderId="12" xfId="1" applyFont="1" applyFill="1" applyBorder="1"/>
    <xf numFmtId="0" fontId="0" fillId="21" borderId="7" xfId="0" applyFill="1" applyBorder="1"/>
    <xf numFmtId="0" fontId="0" fillId="21" borderId="21" xfId="0" applyFill="1" applyBorder="1"/>
    <xf numFmtId="0" fontId="0" fillId="21" borderId="34" xfId="0" applyFill="1" applyBorder="1"/>
    <xf numFmtId="0" fontId="0" fillId="21" borderId="12" xfId="0" applyFill="1" applyBorder="1"/>
    <xf numFmtId="0" fontId="0" fillId="21" borderId="16" xfId="0" applyFill="1" applyBorder="1"/>
    <xf numFmtId="165" fontId="0" fillId="21" borderId="48" xfId="1" applyNumberFormat="1" applyFont="1" applyFill="1" applyBorder="1" applyAlignment="1">
      <alignment horizontal="center"/>
    </xf>
    <xf numFmtId="165" fontId="0" fillId="21" borderId="20" xfId="1" applyNumberFormat="1" applyFont="1" applyFill="1" applyBorder="1" applyAlignment="1">
      <alignment horizontal="center"/>
    </xf>
    <xf numFmtId="165" fontId="0" fillId="21" borderId="9" xfId="1" applyNumberFormat="1" applyFont="1" applyFill="1" applyBorder="1" applyAlignment="1">
      <alignment horizontal="center"/>
    </xf>
    <xf numFmtId="165" fontId="0" fillId="21" borderId="3" xfId="1" applyNumberFormat="1" applyFont="1" applyFill="1" applyBorder="1" applyAlignment="1">
      <alignment horizontal="center"/>
    </xf>
    <xf numFmtId="165" fontId="0" fillId="21" borderId="28" xfId="1" applyNumberFormat="1" applyFont="1" applyFill="1" applyBorder="1" applyAlignment="1">
      <alignment horizontal="center"/>
    </xf>
    <xf numFmtId="165" fontId="4" fillId="21" borderId="7" xfId="1" applyNumberFormat="1" applyFont="1" applyFill="1" applyBorder="1"/>
    <xf numFmtId="165" fontId="4" fillId="21" borderId="21" xfId="1" applyNumberFormat="1" applyFont="1" applyFill="1" applyBorder="1"/>
    <xf numFmtId="165" fontId="4" fillId="21" borderId="12" xfId="1" applyNumberFormat="1" applyFont="1" applyFill="1" applyBorder="1"/>
    <xf numFmtId="165" fontId="4" fillId="21" borderId="16" xfId="1" applyNumberFormat="1" applyFont="1" applyFill="1" applyBorder="1"/>
    <xf numFmtId="167" fontId="0" fillId="21" borderId="7" xfId="1" applyNumberFormat="1" applyFont="1" applyFill="1" applyBorder="1" applyAlignment="1">
      <alignment horizontal="center"/>
    </xf>
    <xf numFmtId="167" fontId="0" fillId="21" borderId="21" xfId="1" applyNumberFormat="1" applyFont="1" applyFill="1" applyBorder="1" applyAlignment="1">
      <alignment horizontal="center"/>
    </xf>
    <xf numFmtId="167" fontId="0" fillId="21" borderId="34" xfId="1" applyNumberFormat="1" applyFont="1" applyFill="1" applyBorder="1" applyAlignment="1">
      <alignment horizontal="center"/>
    </xf>
    <xf numFmtId="167" fontId="0" fillId="21" borderId="12" xfId="1" applyNumberFormat="1" applyFont="1" applyFill="1" applyBorder="1" applyAlignment="1">
      <alignment horizontal="center"/>
    </xf>
    <xf numFmtId="167" fontId="0" fillId="21" borderId="16" xfId="1" applyNumberFormat="1" applyFont="1" applyFill="1" applyBorder="1" applyAlignment="1">
      <alignment horizontal="center"/>
    </xf>
    <xf numFmtId="167" fontId="3" fillId="21" borderId="7" xfId="1" applyNumberFormat="1" applyFont="1" applyFill="1" applyBorder="1" applyAlignment="1">
      <alignment horizontal="center"/>
    </xf>
    <xf numFmtId="167" fontId="3" fillId="21" borderId="16" xfId="1" applyNumberFormat="1" applyFont="1" applyFill="1" applyBorder="1" applyAlignment="1">
      <alignment horizontal="center"/>
    </xf>
    <xf numFmtId="167" fontId="3" fillId="21" borderId="57" xfId="1" applyNumberFormat="1" applyFont="1" applyFill="1" applyBorder="1" applyAlignment="1">
      <alignment horizontal="center"/>
    </xf>
    <xf numFmtId="0" fontId="24" fillId="2" borderId="0" xfId="0" applyFont="1" applyFill="1"/>
    <xf numFmtId="0" fontId="24" fillId="0" borderId="0" xfId="4" applyFont="1" applyAlignment="1">
      <alignment vertical="center"/>
    </xf>
    <xf numFmtId="0" fontId="45" fillId="2" borderId="0" xfId="3" applyFont="1" applyFill="1"/>
    <xf numFmtId="171" fontId="0" fillId="21" borderId="19" xfId="1" applyNumberFormat="1" applyFont="1" applyFill="1" applyBorder="1"/>
    <xf numFmtId="166" fontId="0" fillId="21" borderId="19" xfId="2" applyNumberFormat="1" applyFont="1" applyFill="1" applyBorder="1"/>
    <xf numFmtId="166" fontId="3" fillId="21" borderId="19" xfId="2" applyNumberFormat="1" applyFont="1" applyFill="1" applyBorder="1"/>
    <xf numFmtId="171" fontId="4" fillId="21" borderId="19" xfId="1" applyNumberFormat="1" applyFont="1" applyFill="1" applyBorder="1"/>
    <xf numFmtId="11" fontId="0" fillId="21" borderId="19" xfId="0" applyNumberFormat="1" applyFill="1" applyBorder="1" applyAlignment="1">
      <alignment horizontal="center"/>
    </xf>
    <xf numFmtId="11" fontId="4" fillId="21" borderId="19" xfId="0" applyNumberFormat="1" applyFont="1" applyFill="1" applyBorder="1" applyAlignment="1">
      <alignment horizontal="center"/>
    </xf>
    <xf numFmtId="167" fontId="0" fillId="21" borderId="19" xfId="1" applyNumberFormat="1" applyFont="1" applyFill="1" applyBorder="1" applyAlignment="1">
      <alignment horizontal="center"/>
    </xf>
    <xf numFmtId="165" fontId="0" fillId="21" borderId="19" xfId="1" applyNumberFormat="1" applyFont="1" applyFill="1" applyBorder="1" applyAlignment="1">
      <alignment horizontal="center"/>
    </xf>
    <xf numFmtId="0" fontId="43" fillId="21" borderId="19" xfId="4" applyFont="1" applyFill="1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3" fillId="21" borderId="0" xfId="0" applyFont="1" applyFill="1"/>
    <xf numFmtId="0" fontId="27" fillId="21" borderId="0" xfId="0" applyFont="1" applyFill="1"/>
    <xf numFmtId="0" fontId="0" fillId="2" borderId="20" xfId="0" applyFill="1" applyBorder="1" applyAlignment="1">
      <alignment horizontal="center"/>
    </xf>
    <xf numFmtId="0" fontId="0" fillId="2" borderId="0" xfId="0" applyFill="1" applyBorder="1" applyAlignment="1">
      <alignment vertical="top" wrapText="1"/>
    </xf>
    <xf numFmtId="0" fontId="0" fillId="2" borderId="0" xfId="0" applyFill="1" applyAlignment="1">
      <alignment vertical="top" wrapText="1"/>
    </xf>
    <xf numFmtId="0" fontId="0" fillId="2" borderId="0" xfId="0" applyFill="1" applyBorder="1" applyAlignment="1">
      <alignment vertical="top"/>
    </xf>
    <xf numFmtId="0" fontId="25" fillId="2" borderId="35" xfId="0" applyFont="1" applyFill="1" applyBorder="1" applyAlignment="1">
      <alignment horizontal="left" vertical="top"/>
    </xf>
    <xf numFmtId="0" fontId="25" fillId="2" borderId="0" xfId="0" applyFont="1" applyFill="1" applyBorder="1" applyAlignment="1">
      <alignment vertical="top"/>
    </xf>
    <xf numFmtId="0" fontId="0" fillId="2" borderId="0" xfId="0" applyFill="1" applyAlignment="1">
      <alignment horizontal="center"/>
    </xf>
    <xf numFmtId="0" fontId="21" fillId="2" borderId="0" xfId="0" applyFont="1" applyFill="1" applyBorder="1" applyAlignment="1">
      <alignment horizontal="center" vertical="center"/>
    </xf>
    <xf numFmtId="0" fontId="47" fillId="2" borderId="0" xfId="0" applyFont="1" applyFill="1"/>
    <xf numFmtId="0" fontId="0" fillId="2" borderId="0" xfId="0" applyFill="1" applyBorder="1" applyAlignment="1">
      <alignment wrapText="1"/>
    </xf>
    <xf numFmtId="0" fontId="0" fillId="0" borderId="0" xfId="0" applyFill="1"/>
    <xf numFmtId="164" fontId="3" fillId="2" borderId="0" xfId="1" applyFont="1" applyFill="1" applyBorder="1"/>
    <xf numFmtId="0" fontId="25" fillId="2" borderId="0" xfId="0" applyFont="1" applyFill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164" fontId="0" fillId="21" borderId="55" xfId="1" applyFont="1" applyFill="1" applyBorder="1"/>
    <xf numFmtId="164" fontId="0" fillId="21" borderId="53" xfId="1" applyFont="1" applyFill="1" applyBorder="1"/>
    <xf numFmtId="164" fontId="0" fillId="21" borderId="59" xfId="1" applyFont="1" applyFill="1" applyBorder="1"/>
    <xf numFmtId="164" fontId="0" fillId="21" borderId="54" xfId="1" applyFont="1" applyFill="1" applyBorder="1"/>
    <xf numFmtId="0" fontId="4" fillId="6" borderId="60" xfId="0" applyFont="1" applyFill="1" applyBorder="1" applyAlignment="1">
      <alignment horizontal="center" vertical="center" wrapText="1"/>
    </xf>
    <xf numFmtId="0" fontId="24" fillId="2" borderId="55" xfId="0" applyFont="1" applyFill="1" applyBorder="1" applyAlignment="1">
      <alignment horizontal="center"/>
    </xf>
    <xf numFmtId="0" fontId="24" fillId="2" borderId="53" xfId="0" applyFont="1" applyFill="1" applyBorder="1" applyAlignment="1">
      <alignment horizontal="center"/>
    </xf>
    <xf numFmtId="0" fontId="24" fillId="2" borderId="54" xfId="0" applyFont="1" applyFill="1" applyBorder="1" applyAlignment="1">
      <alignment horizontal="center"/>
    </xf>
    <xf numFmtId="164" fontId="21" fillId="2" borderId="19" xfId="1" applyFont="1" applyFill="1" applyBorder="1" applyAlignment="1">
      <alignment horizontal="center" vertical="center"/>
    </xf>
    <xf numFmtId="164" fontId="48" fillId="2" borderId="0" xfId="1" applyFont="1" applyFill="1"/>
    <xf numFmtId="164" fontId="0" fillId="2" borderId="19" xfId="1" applyFont="1" applyFill="1" applyBorder="1"/>
    <xf numFmtId="0" fontId="48" fillId="2" borderId="0" xfId="0" applyFont="1" applyFill="1" applyAlignment="1">
      <alignment horizontal="center"/>
    </xf>
    <xf numFmtId="0" fontId="0" fillId="0" borderId="40" xfId="0" applyBorder="1" applyAlignment="1">
      <alignment horizontal="center"/>
    </xf>
    <xf numFmtId="9" fontId="0" fillId="0" borderId="56" xfId="0" applyNumberFormat="1" applyBorder="1" applyAlignment="1">
      <alignment horizontal="center"/>
    </xf>
    <xf numFmtId="165" fontId="12" fillId="21" borderId="7" xfId="1" applyNumberFormat="1" applyFont="1" applyFill="1" applyBorder="1"/>
    <xf numFmtId="165" fontId="12" fillId="21" borderId="21" xfId="1" applyNumberFormat="1" applyFont="1" applyFill="1" applyBorder="1"/>
    <xf numFmtId="165" fontId="12" fillId="21" borderId="12" xfId="1" applyNumberFormat="1" applyFont="1" applyFill="1" applyBorder="1"/>
    <xf numFmtId="165" fontId="12" fillId="21" borderId="34" xfId="1" applyNumberFormat="1" applyFont="1" applyFill="1" applyBorder="1"/>
    <xf numFmtId="0" fontId="21" fillId="5" borderId="19" xfId="0" applyFont="1" applyFill="1" applyBorder="1" applyAlignment="1">
      <alignment horizontal="center" vertical="center"/>
    </xf>
    <xf numFmtId="167" fontId="21" fillId="5" borderId="19" xfId="1" applyNumberFormat="1" applyFont="1" applyFill="1" applyBorder="1" applyAlignment="1">
      <alignment horizontal="center" vertical="center"/>
    </xf>
    <xf numFmtId="164" fontId="21" fillId="5" borderId="19" xfId="1" applyNumberFormat="1" applyFont="1" applyFill="1" applyBorder="1" applyAlignment="1">
      <alignment horizontal="center" vertical="center"/>
    </xf>
    <xf numFmtId="165" fontId="21" fillId="5" borderId="19" xfId="1" applyNumberFormat="1" applyFont="1" applyFill="1" applyBorder="1" applyAlignment="1">
      <alignment horizontal="center" vertical="center"/>
    </xf>
    <xf numFmtId="0" fontId="29" fillId="5" borderId="19" xfId="0" applyFont="1" applyFill="1" applyBorder="1" applyAlignment="1">
      <alignment horizontal="center" vertical="center"/>
    </xf>
    <xf numFmtId="14" fontId="21" fillId="5" borderId="19" xfId="0" applyNumberFormat="1" applyFont="1" applyFill="1" applyBorder="1" applyAlignment="1">
      <alignment horizontal="center" vertical="center"/>
    </xf>
    <xf numFmtId="171" fontId="27" fillId="21" borderId="19" xfId="1" applyNumberFormat="1" applyFont="1" applyFill="1" applyBorder="1"/>
    <xf numFmtId="0" fontId="25" fillId="2" borderId="0" xfId="0" applyFont="1" applyFill="1" applyAlignment="1">
      <alignment horizontal="left" vertical="top" wrapText="1"/>
    </xf>
    <xf numFmtId="165" fontId="3" fillId="21" borderId="61" xfId="1" applyNumberFormat="1" applyFont="1" applyFill="1" applyBorder="1" applyAlignment="1">
      <alignment horizontal="center"/>
    </xf>
    <xf numFmtId="165" fontId="3" fillId="21" borderId="57" xfId="1" applyNumberFormat="1" applyFont="1" applyFill="1" applyBorder="1" applyAlignment="1">
      <alignment horizontal="center"/>
    </xf>
    <xf numFmtId="164" fontId="21" fillId="2" borderId="19" xfId="1" applyNumberFormat="1" applyFont="1" applyFill="1" applyBorder="1" applyAlignment="1">
      <alignment horizontal="center" vertical="center"/>
    </xf>
    <xf numFmtId="0" fontId="29" fillId="2" borderId="19" xfId="0" applyFont="1" applyFill="1" applyBorder="1" applyAlignment="1">
      <alignment horizontal="center" vertical="center"/>
    </xf>
    <xf numFmtId="164" fontId="48" fillId="0" borderId="0" xfId="1" applyFont="1" applyFill="1"/>
    <xf numFmtId="0" fontId="0" fillId="2" borderId="0" xfId="0" applyFill="1" applyAlignment="1">
      <alignment horizontal="right"/>
    </xf>
    <xf numFmtId="43" fontId="0" fillId="2" borderId="0" xfId="0" applyNumberFormat="1" applyFill="1" applyAlignment="1">
      <alignment horizontal="center"/>
    </xf>
    <xf numFmtId="0" fontId="21" fillId="22" borderId="19" xfId="0" applyFont="1" applyFill="1" applyBorder="1" applyAlignment="1">
      <alignment horizontal="center" vertical="center"/>
    </xf>
    <xf numFmtId="167" fontId="21" fillId="22" borderId="19" xfId="1" applyNumberFormat="1" applyFont="1" applyFill="1" applyBorder="1" applyAlignment="1">
      <alignment horizontal="center" vertical="center"/>
    </xf>
    <xf numFmtId="14" fontId="21" fillId="22" borderId="19" xfId="0" applyNumberFormat="1" applyFont="1" applyFill="1" applyBorder="1" applyAlignment="1">
      <alignment horizontal="center" vertical="center"/>
    </xf>
    <xf numFmtId="164" fontId="51" fillId="22" borderId="19" xfId="1" applyFont="1" applyFill="1" applyBorder="1" applyAlignment="1">
      <alignment horizontal="center" vertical="center"/>
    </xf>
    <xf numFmtId="164" fontId="4" fillId="22" borderId="19" xfId="1" applyFont="1" applyFill="1" applyBorder="1"/>
    <xf numFmtId="164" fontId="4" fillId="2" borderId="19" xfId="1" applyNumberFormat="1" applyFont="1" applyFill="1" applyBorder="1"/>
    <xf numFmtId="0" fontId="22" fillId="2" borderId="19" xfId="0" applyFont="1" applyFill="1" applyBorder="1" applyAlignment="1">
      <alignment horizontal="center" vertical="center"/>
    </xf>
    <xf numFmtId="167" fontId="22" fillId="2" borderId="19" xfId="1" applyNumberFormat="1" applyFont="1" applyFill="1" applyBorder="1" applyAlignment="1">
      <alignment horizontal="center" vertical="center"/>
    </xf>
    <xf numFmtId="14" fontId="22" fillId="2" borderId="19" xfId="0" applyNumberFormat="1" applyFont="1" applyFill="1" applyBorder="1" applyAlignment="1">
      <alignment horizontal="center" vertical="center"/>
    </xf>
    <xf numFmtId="0" fontId="5" fillId="2" borderId="19" xfId="0" applyFont="1" applyFill="1" applyBorder="1"/>
    <xf numFmtId="0" fontId="0" fillId="11" borderId="31" xfId="0" applyFill="1" applyBorder="1" applyAlignment="1">
      <alignment horizontal="justify" vertical="top" wrapText="1"/>
    </xf>
    <xf numFmtId="0" fontId="0" fillId="11" borderId="35" xfId="0" applyFill="1" applyBorder="1" applyAlignment="1">
      <alignment horizontal="justify" vertical="top" wrapText="1"/>
    </xf>
    <xf numFmtId="0" fontId="0" fillId="11" borderId="36" xfId="0" applyFill="1" applyBorder="1" applyAlignment="1">
      <alignment horizontal="justify" vertical="top" wrapText="1"/>
    </xf>
    <xf numFmtId="0" fontId="0" fillId="11" borderId="32" xfId="0" applyFill="1" applyBorder="1" applyAlignment="1">
      <alignment horizontal="justify" vertical="top" wrapText="1"/>
    </xf>
    <xf numFmtId="0" fontId="0" fillId="11" borderId="0" xfId="0" applyFill="1" applyBorder="1" applyAlignment="1">
      <alignment horizontal="justify" vertical="top" wrapText="1"/>
    </xf>
    <xf numFmtId="0" fontId="0" fillId="11" borderId="37" xfId="0" applyFill="1" applyBorder="1" applyAlignment="1">
      <alignment horizontal="justify" vertical="top" wrapText="1"/>
    </xf>
    <xf numFmtId="0" fontId="0" fillId="11" borderId="38" xfId="0" applyFill="1" applyBorder="1" applyAlignment="1">
      <alignment horizontal="justify" vertical="top" wrapText="1"/>
    </xf>
    <xf numFmtId="0" fontId="0" fillId="11" borderId="1" xfId="0" applyFill="1" applyBorder="1" applyAlignment="1">
      <alignment horizontal="justify" vertical="top" wrapText="1"/>
    </xf>
    <xf numFmtId="0" fontId="0" fillId="11" borderId="39" xfId="0" applyFill="1" applyBorder="1" applyAlignment="1">
      <alignment horizontal="justify" vertical="top" wrapText="1"/>
    </xf>
    <xf numFmtId="0" fontId="9" fillId="9" borderId="24" xfId="0" applyFont="1" applyFill="1" applyBorder="1" applyAlignment="1">
      <alignment horizontal="left" vertical="center" wrapText="1"/>
    </xf>
    <xf numFmtId="0" fontId="9" fillId="9" borderId="25" xfId="0" applyFont="1" applyFill="1" applyBorder="1" applyAlignment="1">
      <alignment horizontal="left" vertical="center" wrapText="1"/>
    </xf>
    <xf numFmtId="0" fontId="9" fillId="9" borderId="26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4" fillId="6" borderId="31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4" fillId="6" borderId="49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4" fillId="6" borderId="50" xfId="0" applyFont="1" applyFill="1" applyBorder="1" applyAlignment="1">
      <alignment horizontal="center"/>
    </xf>
    <xf numFmtId="0" fontId="4" fillId="7" borderId="5" xfId="0" applyFont="1" applyFill="1" applyBorder="1" applyAlignment="1">
      <alignment horizontal="center"/>
    </xf>
    <xf numFmtId="0" fontId="4" fillId="7" borderId="6" xfId="0" applyFont="1" applyFill="1" applyBorder="1" applyAlignment="1">
      <alignment horizontal="center"/>
    </xf>
    <xf numFmtId="0" fontId="4" fillId="7" borderId="7" xfId="0" applyFont="1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4" fillId="14" borderId="19" xfId="0" applyFont="1" applyFill="1" applyBorder="1" applyAlignment="1">
      <alignment horizontal="center"/>
    </xf>
    <xf numFmtId="0" fontId="4" fillId="15" borderId="19" xfId="0" applyFont="1" applyFill="1" applyBorder="1" applyAlignment="1">
      <alignment horizontal="center"/>
    </xf>
    <xf numFmtId="0" fontId="0" fillId="2" borderId="35" xfId="0" applyFill="1" applyBorder="1" applyAlignment="1">
      <alignment horizontal="left" vertical="top" wrapText="1"/>
    </xf>
    <xf numFmtId="0" fontId="0" fillId="2" borderId="0" xfId="0" applyFill="1" applyBorder="1" applyAlignment="1">
      <alignment horizontal="left" vertical="top" wrapText="1"/>
    </xf>
    <xf numFmtId="0" fontId="0" fillId="6" borderId="20" xfId="0" applyFont="1" applyFill="1" applyBorder="1" applyAlignment="1">
      <alignment horizontal="right" vertical="center" wrapText="1"/>
    </xf>
    <xf numFmtId="0" fontId="0" fillId="6" borderId="51" xfId="0" applyFont="1" applyFill="1" applyBorder="1" applyAlignment="1">
      <alignment horizontal="right" vertical="center" wrapText="1"/>
    </xf>
    <xf numFmtId="0" fontId="24" fillId="2" borderId="35" xfId="0" applyFont="1" applyFill="1" applyBorder="1" applyAlignment="1">
      <alignment horizontal="justify" vertical="top" wrapText="1"/>
    </xf>
    <xf numFmtId="0" fontId="24" fillId="2" borderId="0" xfId="0" applyFont="1" applyFill="1" applyBorder="1" applyAlignment="1">
      <alignment horizontal="justify" vertical="top" wrapText="1"/>
    </xf>
    <xf numFmtId="0" fontId="0" fillId="2" borderId="20" xfId="0" applyFill="1" applyBorder="1" applyAlignment="1">
      <alignment horizontal="center"/>
    </xf>
    <xf numFmtId="0" fontId="0" fillId="2" borderId="51" xfId="0" applyFill="1" applyBorder="1" applyAlignment="1">
      <alignment horizontal="center"/>
    </xf>
    <xf numFmtId="0" fontId="4" fillId="6" borderId="42" xfId="0" applyFont="1" applyFill="1" applyBorder="1" applyAlignment="1">
      <alignment horizontal="center" vertical="center" wrapText="1"/>
    </xf>
    <xf numFmtId="0" fontId="4" fillId="6" borderId="43" xfId="0" applyFont="1" applyFill="1" applyBorder="1" applyAlignment="1">
      <alignment horizontal="center" vertical="center" wrapText="1"/>
    </xf>
    <xf numFmtId="0" fontId="4" fillId="6" borderId="44" xfId="0" applyFont="1" applyFill="1" applyBorder="1" applyAlignment="1">
      <alignment horizontal="center" vertical="center" wrapText="1"/>
    </xf>
    <xf numFmtId="0" fontId="0" fillId="13" borderId="42" xfId="0" applyFill="1" applyBorder="1" applyAlignment="1">
      <alignment horizontal="center" wrapText="1"/>
    </xf>
    <xf numFmtId="0" fontId="0" fillId="13" borderId="43" xfId="0" applyFill="1" applyBorder="1" applyAlignment="1">
      <alignment horizontal="center"/>
    </xf>
    <xf numFmtId="0" fontId="0" fillId="13" borderId="44" xfId="0" applyFill="1" applyBorder="1" applyAlignment="1">
      <alignment horizontal="center"/>
    </xf>
    <xf numFmtId="0" fontId="30" fillId="2" borderId="35" xfId="0" applyFont="1" applyFill="1" applyBorder="1" applyAlignment="1">
      <alignment horizontal="justify" vertical="top" wrapText="1"/>
    </xf>
    <xf numFmtId="0" fontId="30" fillId="2" borderId="0" xfId="0" applyFont="1" applyFill="1" applyBorder="1" applyAlignment="1">
      <alignment horizontal="justify" vertical="top" wrapText="1"/>
    </xf>
    <xf numFmtId="0" fontId="4" fillId="6" borderId="19" xfId="0" applyFont="1" applyFill="1" applyBorder="1" applyAlignment="1">
      <alignment horizontal="center" vertical="center" wrapText="1"/>
    </xf>
    <xf numFmtId="0" fontId="25" fillId="2" borderId="35" xfId="0" applyFont="1" applyFill="1" applyBorder="1" applyAlignment="1">
      <alignment horizontal="left" vertical="top" wrapText="1"/>
    </xf>
    <xf numFmtId="0" fontId="25" fillId="2" borderId="0" xfId="0" applyFont="1" applyFill="1" applyAlignment="1">
      <alignment horizontal="left" vertical="top" wrapText="1"/>
    </xf>
    <xf numFmtId="0" fontId="24" fillId="2" borderId="35" xfId="0" applyFont="1" applyFill="1" applyBorder="1" applyAlignment="1">
      <alignment horizontal="left" vertical="top" wrapText="1"/>
    </xf>
    <xf numFmtId="0" fontId="24" fillId="2" borderId="0" xfId="0" applyFont="1" applyFill="1" applyBorder="1" applyAlignment="1">
      <alignment horizontal="left" vertical="top" wrapText="1"/>
    </xf>
    <xf numFmtId="0" fontId="25" fillId="2" borderId="35" xfId="0" applyFont="1" applyFill="1" applyBorder="1" applyAlignment="1">
      <alignment horizontal="left" vertical="top"/>
    </xf>
    <xf numFmtId="0" fontId="0" fillId="13" borderId="20" xfId="0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0" fontId="25" fillId="2" borderId="0" xfId="0" applyFont="1" applyFill="1" applyBorder="1" applyAlignment="1">
      <alignment horizontal="left" vertical="top"/>
    </xf>
    <xf numFmtId="0" fontId="0" fillId="2" borderId="19" xfId="0" applyFill="1" applyBorder="1" applyAlignment="1">
      <alignment horizontal="center" vertical="center"/>
    </xf>
    <xf numFmtId="0" fontId="24" fillId="2" borderId="58" xfId="0" applyFont="1" applyFill="1" applyBorder="1" applyAlignment="1">
      <alignment horizontal="left" vertical="top" wrapText="1"/>
    </xf>
    <xf numFmtId="0" fontId="24" fillId="2" borderId="0" xfId="0" applyFont="1" applyFill="1" applyAlignment="1">
      <alignment horizontal="left" vertical="top" wrapText="1"/>
    </xf>
    <xf numFmtId="167" fontId="21" fillId="2" borderId="0" xfId="1" applyNumberFormat="1" applyFont="1" applyFill="1" applyBorder="1" applyAlignment="1">
      <alignment horizontal="center" vertical="center"/>
    </xf>
    <xf numFmtId="14" fontId="21" fillId="2" borderId="0" xfId="0" applyNumberFormat="1" applyFont="1" applyFill="1" applyBorder="1" applyAlignment="1">
      <alignment horizontal="center" vertical="center"/>
    </xf>
    <xf numFmtId="164" fontId="21" fillId="2" borderId="0" xfId="1" applyFont="1" applyFill="1" applyBorder="1" applyAlignment="1">
      <alignment horizontal="center" vertical="center"/>
    </xf>
    <xf numFmtId="0" fontId="21" fillId="5" borderId="0" xfId="0" applyFont="1" applyFill="1" applyBorder="1" applyAlignment="1">
      <alignment horizontal="center" vertical="center"/>
    </xf>
    <xf numFmtId="167" fontId="21" fillId="5" borderId="0" xfId="1" applyNumberFormat="1" applyFont="1" applyFill="1" applyBorder="1" applyAlignment="1">
      <alignment horizontal="center" vertical="center"/>
    </xf>
    <xf numFmtId="0" fontId="21" fillId="21" borderId="19" xfId="0" applyFont="1" applyFill="1" applyBorder="1" applyAlignment="1">
      <alignment horizontal="center" vertical="center"/>
    </xf>
    <xf numFmtId="167" fontId="21" fillId="21" borderId="19" xfId="1" applyNumberFormat="1" applyFont="1" applyFill="1" applyBorder="1" applyAlignment="1">
      <alignment horizontal="center" vertical="center"/>
    </xf>
    <xf numFmtId="14" fontId="21" fillId="21" borderId="19" xfId="0" applyNumberFormat="1" applyFont="1" applyFill="1" applyBorder="1" applyAlignment="1">
      <alignment horizontal="center" vertical="center"/>
    </xf>
    <xf numFmtId="0" fontId="0" fillId="21" borderId="19" xfId="0" applyFill="1" applyBorder="1"/>
    <xf numFmtId="167" fontId="0" fillId="2" borderId="0" xfId="0" applyNumberFormat="1" applyFill="1"/>
    <xf numFmtId="43" fontId="0" fillId="2" borderId="0" xfId="0" applyNumberFormat="1" applyFill="1"/>
  </cellXfs>
  <cellStyles count="5">
    <cellStyle name="Hipervínculo" xfId="3" builtinId="8"/>
    <cellStyle name="Millares" xfId="1" builtinId="3"/>
    <cellStyle name="Normal" xfId="0" builtinId="0"/>
    <cellStyle name="Normal 10 3" xfId="4" xr:uid="{00000000-0005-0000-0000-000003000000}"/>
    <cellStyle name="Porcentaje" xfId="2" builtinId="5"/>
  </cellStyles>
  <dxfs count="0"/>
  <tableStyles count="0" defaultTableStyle="TableStyleMedium2" defaultPivotStyle="PivotStyleLight16"/>
  <colors>
    <mruColors>
      <color rgb="FF4BFF4B"/>
      <color rgb="FFE4D2F2"/>
      <color rgb="FFD9EBCD"/>
      <color rgb="FFC9A4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Variables!$G$12:$G$39</c:f>
              <c:numCache>
                <c:formatCode>_ * #,##0.0_ ;_ * \-#,##0.0_ ;_ * "-"??_ ;_ @_ </c:formatCode>
                <c:ptCount val="28"/>
                <c:pt idx="0">
                  <c:v>184.39431999999999</c:v>
                </c:pt>
                <c:pt idx="1">
                  <c:v>217.92055999999999</c:v>
                </c:pt>
                <c:pt idx="2">
                  <c:v>284.97304000000003</c:v>
                </c:pt>
                <c:pt idx="3">
                  <c:v>343.64395999999999</c:v>
                </c:pt>
                <c:pt idx="4">
                  <c:v>393.93332000000004</c:v>
                </c:pt>
                <c:pt idx="5">
                  <c:v>460.98580000000004</c:v>
                </c:pt>
                <c:pt idx="6">
                  <c:v>502.89359999999999</c:v>
                </c:pt>
                <c:pt idx="7">
                  <c:v>203.7706</c:v>
                </c:pt>
                <c:pt idx="8">
                  <c:v>240.81979999999999</c:v>
                </c:pt>
                <c:pt idx="9">
                  <c:v>314.91820000000001</c:v>
                </c:pt>
                <c:pt idx="10">
                  <c:v>379.7543</c:v>
                </c:pt>
                <c:pt idx="11">
                  <c:v>435.32810000000006</c:v>
                </c:pt>
                <c:pt idx="12">
                  <c:v>509.42650000000003</c:v>
                </c:pt>
                <c:pt idx="13">
                  <c:v>555.73800000000006</c:v>
                </c:pt>
                <c:pt idx="14">
                  <c:v>231.45099999999999</c:v>
                </c:pt>
                <c:pt idx="15">
                  <c:v>273.53300000000002</c:v>
                </c:pt>
                <c:pt idx="16">
                  <c:v>357.69699999999995</c:v>
                </c:pt>
                <c:pt idx="17">
                  <c:v>431.34050000000002</c:v>
                </c:pt>
                <c:pt idx="18">
                  <c:v>494.46350000000001</c:v>
                </c:pt>
                <c:pt idx="19">
                  <c:v>578.62750000000005</c:v>
                </c:pt>
                <c:pt idx="20">
                  <c:v>631.23</c:v>
                </c:pt>
                <c:pt idx="21">
                  <c:v>250.82728</c:v>
                </c:pt>
                <c:pt idx="22">
                  <c:v>296.43223999999998</c:v>
                </c:pt>
                <c:pt idx="23">
                  <c:v>387.64215999999999</c:v>
                </c:pt>
                <c:pt idx="24">
                  <c:v>467.45084000000003</c:v>
                </c:pt>
                <c:pt idx="25">
                  <c:v>535.85828000000004</c:v>
                </c:pt>
                <c:pt idx="26">
                  <c:v>627.06820000000005</c:v>
                </c:pt>
                <c:pt idx="27">
                  <c:v>684.07439999999997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67-4876-87CB-BDB3831D68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4964616"/>
        <c:axId val="213927816"/>
      </c:barChart>
      <c:catAx>
        <c:axId val="214964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13927816"/>
        <c:crosses val="autoZero"/>
        <c:auto val="1"/>
        <c:lblAlgn val="ctr"/>
        <c:lblOffset val="100"/>
        <c:noMultiLvlLbl val="0"/>
      </c:catAx>
      <c:valAx>
        <c:axId val="213927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.0_ ;_ * \-#,##0.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14964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Variables!$M$12:$M$39</c:f>
              <c:numCache>
                <c:formatCode>_ * #,##0.0_ ;_ * \-#,##0.0_ ;_ * "-"??_ ;_ @_ </c:formatCode>
                <c:ptCount val="28"/>
                <c:pt idx="0">
                  <c:v>176.64380800000004</c:v>
                </c:pt>
                <c:pt idx="1">
                  <c:v>208.760864</c:v>
                </c:pt>
                <c:pt idx="2">
                  <c:v>272.99497600000001</c:v>
                </c:pt>
                <c:pt idx="3">
                  <c:v>329.19982400000004</c:v>
                </c:pt>
                <c:pt idx="4">
                  <c:v>377.37540800000005</c:v>
                </c:pt>
                <c:pt idx="5">
                  <c:v>441.60952000000003</c:v>
                </c:pt>
                <c:pt idx="6">
                  <c:v>481.75584000000003</c:v>
                </c:pt>
                <c:pt idx="7">
                  <c:v>189.23839000000001</c:v>
                </c:pt>
                <c:pt idx="8">
                  <c:v>223.64537000000001</c:v>
                </c:pt>
                <c:pt idx="9">
                  <c:v>292.45932999999997</c:v>
                </c:pt>
                <c:pt idx="10">
                  <c:v>352.67154499999998</c:v>
                </c:pt>
                <c:pt idx="11">
                  <c:v>404.28201499999994</c:v>
                </c:pt>
                <c:pt idx="12">
                  <c:v>473.09597499999995</c:v>
                </c:pt>
                <c:pt idx="13">
                  <c:v>516.10469999999998</c:v>
                </c:pt>
                <c:pt idx="14">
                  <c:v>207.23065000000003</c:v>
                </c:pt>
                <c:pt idx="15">
                  <c:v>244.90895</c:v>
                </c:pt>
                <c:pt idx="16">
                  <c:v>320.26555000000002</c:v>
                </c:pt>
                <c:pt idx="17">
                  <c:v>386.20257500000002</c:v>
                </c:pt>
                <c:pt idx="18">
                  <c:v>442.72002500000002</c:v>
                </c:pt>
                <c:pt idx="19">
                  <c:v>518.07662500000004</c:v>
                </c:pt>
                <c:pt idx="20">
                  <c:v>565.17450000000008</c:v>
                </c:pt>
                <c:pt idx="21">
                  <c:v>219.825232</c:v>
                </c:pt>
                <c:pt idx="22">
                  <c:v>259.79345599999999</c:v>
                </c:pt>
                <c:pt idx="23">
                  <c:v>339.72990399999998</c:v>
                </c:pt>
                <c:pt idx="24">
                  <c:v>409.67429599999997</c:v>
                </c:pt>
                <c:pt idx="25">
                  <c:v>469.62663199999997</c:v>
                </c:pt>
                <c:pt idx="26">
                  <c:v>549.56308000000001</c:v>
                </c:pt>
                <c:pt idx="27">
                  <c:v>599.52335999999991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12-46DB-9A8F-9AFEB36B0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5670160"/>
        <c:axId val="214983664"/>
      </c:barChart>
      <c:catAx>
        <c:axId val="21567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14983664"/>
        <c:crosses val="autoZero"/>
        <c:auto val="1"/>
        <c:lblAlgn val="ctr"/>
        <c:lblOffset val="100"/>
        <c:noMultiLvlLbl val="0"/>
      </c:catAx>
      <c:valAx>
        <c:axId val="2149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.0_ ;_ * \-#,##0.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15670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Variables!$S$12:$S$39</c:f>
              <c:numCache>
                <c:formatCode>_ * #,##0.0_ ;_ * \-#,##0.0_ ;_ * "-"??_ ;_ @_ </c:formatCode>
                <c:ptCount val="28"/>
                <c:pt idx="0">
                  <c:v>189.93039999999996</c:v>
                </c:pt>
                <c:pt idx="1">
                  <c:v>224.4632</c:v>
                </c:pt>
                <c:pt idx="2">
                  <c:v>293.52879999999999</c:v>
                </c:pt>
                <c:pt idx="3">
                  <c:v>353.96119999999996</c:v>
                </c:pt>
                <c:pt idx="4">
                  <c:v>405.76039999999995</c:v>
                </c:pt>
                <c:pt idx="5">
                  <c:v>474.82599999999996</c:v>
                </c:pt>
                <c:pt idx="6">
                  <c:v>517.99199999999996</c:v>
                </c:pt>
                <c:pt idx="7">
                  <c:v>214.15075000000002</c:v>
                </c:pt>
                <c:pt idx="8">
                  <c:v>253.08725000000001</c:v>
                </c:pt>
                <c:pt idx="9">
                  <c:v>330.96025000000003</c:v>
                </c:pt>
                <c:pt idx="10">
                  <c:v>399.09912499999996</c:v>
                </c:pt>
                <c:pt idx="11">
                  <c:v>457.50387500000005</c:v>
                </c:pt>
                <c:pt idx="12">
                  <c:v>535.37687500000004</c:v>
                </c:pt>
                <c:pt idx="13">
                  <c:v>584.04750000000001</c:v>
                </c:pt>
                <c:pt idx="14">
                  <c:v>248.75125</c:v>
                </c:pt>
                <c:pt idx="15">
                  <c:v>293.97874999999999</c:v>
                </c:pt>
                <c:pt idx="16">
                  <c:v>384.43374999999997</c:v>
                </c:pt>
                <c:pt idx="17">
                  <c:v>463.58187500000003</c:v>
                </c:pt>
                <c:pt idx="18">
                  <c:v>531.42312500000003</c:v>
                </c:pt>
                <c:pt idx="19">
                  <c:v>621.87812499999995</c:v>
                </c:pt>
                <c:pt idx="20">
                  <c:v>678.41250000000002</c:v>
                </c:pt>
                <c:pt idx="21">
                  <c:v>272.97160000000002</c:v>
                </c:pt>
                <c:pt idx="22">
                  <c:v>322.6028</c:v>
                </c:pt>
                <c:pt idx="23">
                  <c:v>421.86520000000002</c:v>
                </c:pt>
                <c:pt idx="24">
                  <c:v>508.71980000000002</c:v>
                </c:pt>
                <c:pt idx="25">
                  <c:v>583.16660000000002</c:v>
                </c:pt>
                <c:pt idx="26">
                  <c:v>682.42900000000009</c:v>
                </c:pt>
                <c:pt idx="27">
                  <c:v>744.46800000000007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1F-439A-A43F-305075350A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5854080"/>
        <c:axId val="215856512"/>
      </c:barChart>
      <c:catAx>
        <c:axId val="215854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15856512"/>
        <c:crosses val="autoZero"/>
        <c:auto val="1"/>
        <c:lblAlgn val="ctr"/>
        <c:lblOffset val="100"/>
        <c:noMultiLvlLbl val="0"/>
      </c:catAx>
      <c:valAx>
        <c:axId val="21585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.0_ ;_ * \-#,##0.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15854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Variables!$Y$12:$Y$39</c:f>
              <c:numCache>
                <c:formatCode>_ * #,##0.0_ ;_ * \-#,##0.0_ ;_ * "-"??_ ;_ @_ </c:formatCode>
                <c:ptCount val="28"/>
                <c:pt idx="0">
                  <c:v>227.27161599999999</c:v>
                </c:pt>
                <c:pt idx="1">
                  <c:v>268.593728</c:v>
                </c:pt>
                <c:pt idx="2">
                  <c:v>351.23795200000001</c:v>
                </c:pt>
                <c:pt idx="3">
                  <c:v>423.551648</c:v>
                </c:pt>
                <c:pt idx="4">
                  <c:v>485.53481599999998</c:v>
                </c:pt>
                <c:pt idx="5">
                  <c:v>568.17903999999999</c:v>
                </c:pt>
                <c:pt idx="6">
                  <c:v>619.83168000000001</c:v>
                </c:pt>
                <c:pt idx="7">
                  <c:v>310.15303000000006</c:v>
                </c:pt>
                <c:pt idx="8">
                  <c:v>366.54449000000005</c:v>
                </c:pt>
                <c:pt idx="9">
                  <c:v>479.3274100000001</c:v>
                </c:pt>
                <c:pt idx="10">
                  <c:v>578.01246500000013</c:v>
                </c:pt>
                <c:pt idx="11">
                  <c:v>662.5996550000001</c:v>
                </c:pt>
                <c:pt idx="12">
                  <c:v>775.38257500000009</c:v>
                </c:pt>
                <c:pt idx="13">
                  <c:v>845.87189999999998</c:v>
                </c:pt>
                <c:pt idx="14">
                  <c:v>428.55505000000005</c:v>
                </c:pt>
                <c:pt idx="15">
                  <c:v>506.47415000000001</c:v>
                </c:pt>
                <c:pt idx="16">
                  <c:v>662.31235000000004</c:v>
                </c:pt>
                <c:pt idx="17">
                  <c:v>798.67077500000005</c:v>
                </c:pt>
                <c:pt idx="18">
                  <c:v>874.84625000000005</c:v>
                </c:pt>
                <c:pt idx="19">
                  <c:v>1023.75625</c:v>
                </c:pt>
                <c:pt idx="20">
                  <c:v>1116.825</c:v>
                </c:pt>
                <c:pt idx="21">
                  <c:v>511.436464</c:v>
                </c:pt>
                <c:pt idx="22">
                  <c:v>604.42491199999995</c:v>
                </c:pt>
                <c:pt idx="23">
                  <c:v>790.40180800000007</c:v>
                </c:pt>
                <c:pt idx="24">
                  <c:v>953.13159199999996</c:v>
                </c:pt>
                <c:pt idx="25">
                  <c:v>1092.614264</c:v>
                </c:pt>
                <c:pt idx="26">
                  <c:v>1278.5911599999999</c:v>
                </c:pt>
                <c:pt idx="27">
                  <c:v>1394.82672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61-45FB-90E6-A8284E66DF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5894160"/>
        <c:axId val="215898640"/>
      </c:barChart>
      <c:catAx>
        <c:axId val="21589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15898640"/>
        <c:crosses val="autoZero"/>
        <c:auto val="1"/>
        <c:lblAlgn val="ctr"/>
        <c:lblOffset val="100"/>
        <c:noMultiLvlLbl val="0"/>
      </c:catAx>
      <c:valAx>
        <c:axId val="21589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.0_ ;_ * \-#,##0.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1589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Variables!$AE$12:$AE$39</c:f>
              <c:numCache>
                <c:formatCode>_ * #,##0.0_ ;_ * \-#,##0.0_ ;_ * "-"??_ ;_ @_ </c:formatCode>
                <c:ptCount val="28"/>
                <c:pt idx="0">
                  <c:v>241.37079999999997</c:v>
                </c:pt>
                <c:pt idx="1">
                  <c:v>285.25639999999999</c:v>
                </c:pt>
                <c:pt idx="2">
                  <c:v>373.02760000000001</c:v>
                </c:pt>
                <c:pt idx="3">
                  <c:v>449.82739999999995</c:v>
                </c:pt>
                <c:pt idx="4">
                  <c:v>515.6558</c:v>
                </c:pt>
                <c:pt idx="5">
                  <c:v>603.42700000000002</c:v>
                </c:pt>
                <c:pt idx="6">
                  <c:v>658.28399999999999</c:v>
                </c:pt>
                <c:pt idx="7">
                  <c:v>310.60149999999999</c:v>
                </c:pt>
                <c:pt idx="8">
                  <c:v>367.07450000000006</c:v>
                </c:pt>
                <c:pt idx="9">
                  <c:v>480.02050000000003</c:v>
                </c:pt>
                <c:pt idx="10">
                  <c:v>578.84825000000001</c:v>
                </c:pt>
                <c:pt idx="11">
                  <c:v>663.55775000000006</c:v>
                </c:pt>
                <c:pt idx="12">
                  <c:v>776.50374999999997</c:v>
                </c:pt>
                <c:pt idx="13">
                  <c:v>847.09500000000003</c:v>
                </c:pt>
                <c:pt idx="14">
                  <c:v>409.5025</c:v>
                </c:pt>
                <c:pt idx="15">
                  <c:v>483.95749999999998</c:v>
                </c:pt>
                <c:pt idx="16">
                  <c:v>632.86749999999995</c:v>
                </c:pt>
                <c:pt idx="17">
                  <c:v>763.16375000000005</c:v>
                </c:pt>
                <c:pt idx="18">
                  <c:v>874.84625000000005</c:v>
                </c:pt>
                <c:pt idx="19">
                  <c:v>1023.75625</c:v>
                </c:pt>
                <c:pt idx="20">
                  <c:v>1116.825</c:v>
                </c:pt>
                <c:pt idx="21">
                  <c:v>478.73320000000001</c:v>
                </c:pt>
                <c:pt idx="22">
                  <c:v>565.77559999999994</c:v>
                </c:pt>
                <c:pt idx="23">
                  <c:v>739.86039999999991</c:v>
                </c:pt>
                <c:pt idx="24">
                  <c:v>892.18459999999993</c:v>
                </c:pt>
                <c:pt idx="25">
                  <c:v>1022.7481999999999</c:v>
                </c:pt>
                <c:pt idx="26">
                  <c:v>1196.8330000000001</c:v>
                </c:pt>
                <c:pt idx="27">
                  <c:v>1305.636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1-44D1-83DA-B3B6A7D833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5965040"/>
        <c:axId val="215965424"/>
      </c:barChart>
      <c:catAx>
        <c:axId val="21596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15965424"/>
        <c:crosses val="autoZero"/>
        <c:auto val="1"/>
        <c:lblAlgn val="ctr"/>
        <c:lblOffset val="100"/>
        <c:noMultiLvlLbl val="0"/>
      </c:catAx>
      <c:valAx>
        <c:axId val="21596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.0_ ;_ * \-#,##0.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15965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Variables!$AK$12:$AK$39</c:f>
              <c:numCache>
                <c:formatCode>_ * #,##0.0_ ;_ * \-#,##0.0_ ;_ * "-"??_ ;_ @_ </c:formatCode>
                <c:ptCount val="28"/>
                <c:pt idx="0">
                  <c:v>352.91907199999991</c:v>
                </c:pt>
                <c:pt idx="1">
                  <c:v>417.08617599999997</c:v>
                </c:pt>
                <c:pt idx="2">
                  <c:v>545.42038400000001</c:v>
                </c:pt>
                <c:pt idx="3">
                  <c:v>657.71281599999986</c:v>
                </c:pt>
                <c:pt idx="4">
                  <c:v>753.96347199999991</c:v>
                </c:pt>
                <c:pt idx="5">
                  <c:v>882.29768000000001</c:v>
                </c:pt>
                <c:pt idx="6">
                  <c:v>962.50655999999992</c:v>
                </c:pt>
                <c:pt idx="7">
                  <c:v>491.84201000000002</c:v>
                </c:pt>
                <c:pt idx="8">
                  <c:v>581.26783</c:v>
                </c:pt>
                <c:pt idx="9">
                  <c:v>760.11946999999998</c:v>
                </c:pt>
                <c:pt idx="10">
                  <c:v>916.61465500000008</c:v>
                </c:pt>
                <c:pt idx="11">
                  <c:v>1050.753385</c:v>
                </c:pt>
                <c:pt idx="12">
                  <c:v>1229.6050250000001</c:v>
                </c:pt>
                <c:pt idx="13">
                  <c:v>1341.3873000000001</c:v>
                </c:pt>
                <c:pt idx="14">
                  <c:v>690.30334999999991</c:v>
                </c:pt>
                <c:pt idx="15">
                  <c:v>815.81304999999998</c:v>
                </c:pt>
                <c:pt idx="16">
                  <c:v>1066.8324499999999</c:v>
                </c:pt>
                <c:pt idx="17">
                  <c:v>1286.4744250000001</c:v>
                </c:pt>
                <c:pt idx="18">
                  <c:v>1474.738975</c:v>
                </c:pt>
                <c:pt idx="19">
                  <c:v>1725.7583749999999</c:v>
                </c:pt>
                <c:pt idx="20">
                  <c:v>1882.6454999999999</c:v>
                </c:pt>
                <c:pt idx="21">
                  <c:v>829.22628799999995</c:v>
                </c:pt>
                <c:pt idx="22">
                  <c:v>979.99470399999996</c:v>
                </c:pt>
                <c:pt idx="23">
                  <c:v>1281.5315359999997</c:v>
                </c:pt>
                <c:pt idx="24">
                  <c:v>1545.3762639999998</c:v>
                </c:pt>
                <c:pt idx="25">
                  <c:v>1771.5288879999998</c:v>
                </c:pt>
                <c:pt idx="26">
                  <c:v>2073.0657200000001</c:v>
                </c:pt>
                <c:pt idx="27">
                  <c:v>2261.5262399999997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D8-47F5-B590-B8E142487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5905736"/>
        <c:axId val="215906128"/>
      </c:barChart>
      <c:catAx>
        <c:axId val="215905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15906128"/>
        <c:crosses val="autoZero"/>
        <c:auto val="1"/>
        <c:lblAlgn val="ctr"/>
        <c:lblOffset val="100"/>
        <c:noMultiLvlLbl val="0"/>
      </c:catAx>
      <c:valAx>
        <c:axId val="21590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.0_ ;_ * \-#,##0.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15905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Variables!$AQ$12:$AQ$39</c:f>
              <c:numCache>
                <c:formatCode>_ * #,##0.0_ ;_ * \-#,##0.0_ ;_ * "-"??_ ;_ @_ </c:formatCode>
                <c:ptCount val="28"/>
                <c:pt idx="0">
                  <c:v>286.45759999999996</c:v>
                </c:pt>
                <c:pt idx="1">
                  <c:v>338.54079999999999</c:v>
                </c:pt>
                <c:pt idx="2">
                  <c:v>442.7072</c:v>
                </c:pt>
                <c:pt idx="3">
                  <c:v>533.8528</c:v>
                </c:pt>
                <c:pt idx="4">
                  <c:v>611.97760000000005</c:v>
                </c:pt>
                <c:pt idx="5">
                  <c:v>716.14399999999989</c:v>
                </c:pt>
                <c:pt idx="6">
                  <c:v>781.24800000000005</c:v>
                </c:pt>
                <c:pt idx="7">
                  <c:v>367.22674999999998</c:v>
                </c:pt>
                <c:pt idx="8">
                  <c:v>433.99524999999994</c:v>
                </c:pt>
                <c:pt idx="9">
                  <c:v>567.53224999999998</c:v>
                </c:pt>
                <c:pt idx="10">
                  <c:v>684.37712499999998</c:v>
                </c:pt>
                <c:pt idx="11">
                  <c:v>784.52987499999983</c:v>
                </c:pt>
                <c:pt idx="12">
                  <c:v>918.06687499999987</c:v>
                </c:pt>
                <c:pt idx="13">
                  <c:v>1001.5274999999998</c:v>
                </c:pt>
                <c:pt idx="14">
                  <c:v>482.61124999999998</c:v>
                </c:pt>
                <c:pt idx="15">
                  <c:v>570.35874999999999</c:v>
                </c:pt>
                <c:pt idx="16">
                  <c:v>745.85374999999999</c:v>
                </c:pt>
                <c:pt idx="17">
                  <c:v>899.41187500000001</c:v>
                </c:pt>
                <c:pt idx="18">
                  <c:v>1031.0331249999999</c:v>
                </c:pt>
                <c:pt idx="19">
                  <c:v>1206.528125</c:v>
                </c:pt>
                <c:pt idx="20">
                  <c:v>1316.2125000000001</c:v>
                </c:pt>
                <c:pt idx="21">
                  <c:v>563.38040000000001</c:v>
                </c:pt>
                <c:pt idx="22">
                  <c:v>665.81319999999994</c:v>
                </c:pt>
                <c:pt idx="23">
                  <c:v>870.67880000000002</c:v>
                </c:pt>
                <c:pt idx="24">
                  <c:v>1049.9361999999999</c:v>
                </c:pt>
                <c:pt idx="25">
                  <c:v>1203.5853999999999</c:v>
                </c:pt>
                <c:pt idx="26">
                  <c:v>1408.451</c:v>
                </c:pt>
                <c:pt idx="27">
                  <c:v>1536.4919999999997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EF-46E2-AB5C-A554F5B2FA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5906912"/>
        <c:axId val="215907304"/>
      </c:barChart>
      <c:catAx>
        <c:axId val="21590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15907304"/>
        <c:crosses val="autoZero"/>
        <c:auto val="1"/>
        <c:lblAlgn val="ctr"/>
        <c:lblOffset val="100"/>
        <c:noMultiLvlLbl val="0"/>
      </c:catAx>
      <c:valAx>
        <c:axId val="215907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.0_ ;_ * \-#,##0.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15906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16699</xdr:colOff>
      <xdr:row>12</xdr:row>
      <xdr:rowOff>134747</xdr:rowOff>
    </xdr:from>
    <xdr:ext cx="3945701" cy="381985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88149" y="2201672"/>
          <a:ext cx="3945701" cy="3819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>
          <a:noAutofit/>
        </a:bodyPr>
        <a:lstStyle/>
        <a:p>
          <a:pPr algn="ctr"/>
          <a:r>
            <a:rPr lang="es-PE" sz="1600"/>
            <a:t>ER</a:t>
          </a:r>
          <a:r>
            <a:rPr lang="es-PE" sz="1600" baseline="-25000"/>
            <a:t>y</a:t>
          </a:r>
          <a:r>
            <a:rPr lang="es-PE" sz="1600"/>
            <a:t> = (EC</a:t>
          </a:r>
          <a:r>
            <a:rPr lang="es-PE" sz="1600" baseline="-25000"/>
            <a:t>BL,Y</a:t>
          </a:r>
          <a:r>
            <a:rPr lang="es-PE" sz="1600"/>
            <a:t> - EC</a:t>
          </a:r>
          <a:r>
            <a:rPr lang="es-PE" sz="1600" baseline="-25000"/>
            <a:t>PJ,y</a:t>
          </a:r>
          <a:r>
            <a:rPr lang="es-PE" sz="1600"/>
            <a:t>)/(1-TD</a:t>
          </a:r>
          <a:r>
            <a:rPr lang="es-PE" sz="1600" baseline="-25000"/>
            <a:t>y</a:t>
          </a:r>
          <a:r>
            <a:rPr lang="es-PE" sz="1600"/>
            <a:t>) * 1/1000 * EF</a:t>
          </a:r>
          <a:r>
            <a:rPr lang="es-PE" sz="1600" baseline="-25000"/>
            <a:t>y</a:t>
          </a:r>
        </a:p>
      </xdr:txBody>
    </xdr:sp>
    <xdr:clientData/>
  </xdr:oneCellAnchor>
  <xdr:twoCellAnchor>
    <xdr:from>
      <xdr:col>0</xdr:col>
      <xdr:colOff>219075</xdr:colOff>
      <xdr:row>14</xdr:row>
      <xdr:rowOff>95250</xdr:rowOff>
    </xdr:from>
    <xdr:to>
      <xdr:col>2</xdr:col>
      <xdr:colOff>3629025</xdr:colOff>
      <xdr:row>15</xdr:row>
      <xdr:rowOff>133350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19075" y="3219450"/>
          <a:ext cx="5019675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ES" sz="1100">
              <a:solidFill>
                <a:schemeClr val="accent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Metodología (MDL) </a:t>
          </a:r>
          <a:r>
            <a:rPr lang="es-ES" sz="1100" i="1">
              <a:solidFill>
                <a:schemeClr val="accent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AMS-II.O. – Dissemination of energy efficient household appliances</a:t>
          </a:r>
          <a:endParaRPr lang="es-PE" sz="1100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247649</xdr:colOff>
      <xdr:row>29</xdr:row>
      <xdr:rowOff>0</xdr:rowOff>
    </xdr:from>
    <xdr:to>
      <xdr:col>3</xdr:col>
      <xdr:colOff>1143000</xdr:colOff>
      <xdr:row>30</xdr:row>
      <xdr:rowOff>28576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47649" y="6210300"/>
          <a:ext cx="11772901" cy="333376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139145</xdr:colOff>
      <xdr:row>71</xdr:row>
      <xdr:rowOff>53009</xdr:rowOff>
    </xdr:from>
    <xdr:to>
      <xdr:col>13</xdr:col>
      <xdr:colOff>742119</xdr:colOff>
      <xdr:row>72</xdr:row>
      <xdr:rowOff>99391</xdr:rowOff>
    </xdr:to>
    <xdr:sp macro="" textlink="">
      <xdr:nvSpPr>
        <xdr:cNvPr id="2" name="Flecha: a la derecha 1">
          <a:extLst>
            <a:ext uri="{FF2B5EF4-FFF2-40B4-BE49-F238E27FC236}">
              <a16:creationId xmlns:a16="http://schemas.microsoft.com/office/drawing/2014/main" id="{C66ED94F-C176-4000-85DD-45512CB2497F}"/>
            </a:ext>
          </a:extLst>
        </xdr:cNvPr>
        <xdr:cNvSpPr/>
      </xdr:nvSpPr>
      <xdr:spPr>
        <a:xfrm>
          <a:off x="21972102" y="10422835"/>
          <a:ext cx="602974" cy="231913"/>
        </a:xfrm>
        <a:prstGeom prst="rightArrow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14</xdr:col>
      <xdr:colOff>410816</xdr:colOff>
      <xdr:row>71</xdr:row>
      <xdr:rowOff>53009</xdr:rowOff>
    </xdr:from>
    <xdr:to>
      <xdr:col>14</xdr:col>
      <xdr:colOff>1013790</xdr:colOff>
      <xdr:row>72</xdr:row>
      <xdr:rowOff>99391</xdr:rowOff>
    </xdr:to>
    <xdr:sp macro="" textlink="">
      <xdr:nvSpPr>
        <xdr:cNvPr id="3" name="Flecha: a la derecha 2">
          <a:extLst>
            <a:ext uri="{FF2B5EF4-FFF2-40B4-BE49-F238E27FC236}">
              <a16:creationId xmlns:a16="http://schemas.microsoft.com/office/drawing/2014/main" id="{6F787334-4B71-4DCD-B765-218055FDD296}"/>
            </a:ext>
          </a:extLst>
        </xdr:cNvPr>
        <xdr:cNvSpPr/>
      </xdr:nvSpPr>
      <xdr:spPr>
        <a:xfrm>
          <a:off x="24417129" y="10422835"/>
          <a:ext cx="602974" cy="231913"/>
        </a:xfrm>
        <a:prstGeom prst="rightArrow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9</xdr:col>
      <xdr:colOff>92764</xdr:colOff>
      <xdr:row>1</xdr:row>
      <xdr:rowOff>159026</xdr:rowOff>
    </xdr:from>
    <xdr:to>
      <xdr:col>13</xdr:col>
      <xdr:colOff>13250</xdr:colOff>
      <xdr:row>12</xdr:row>
      <xdr:rowOff>143349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CCD09DA-40F1-49BE-B798-F8EDAE8792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943" t="33692" r="20026" b="14578"/>
        <a:stretch/>
      </xdr:blipFill>
      <xdr:spPr>
        <a:xfrm>
          <a:off x="14690034" y="344556"/>
          <a:ext cx="7156173" cy="2634758"/>
        </a:xfrm>
        <a:prstGeom prst="rect">
          <a:avLst/>
        </a:prstGeom>
      </xdr:spPr>
    </xdr:pic>
    <xdr:clientData/>
  </xdr:twoCellAnchor>
  <xdr:twoCellAnchor editAs="oneCell">
    <xdr:from>
      <xdr:col>9</xdr:col>
      <xdr:colOff>1583635</xdr:colOff>
      <xdr:row>15</xdr:row>
      <xdr:rowOff>331304</xdr:rowOff>
    </xdr:from>
    <xdr:to>
      <xdr:col>13</xdr:col>
      <xdr:colOff>1179442</xdr:colOff>
      <xdr:row>25</xdr:row>
      <xdr:rowOff>122409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F036F76-57F0-4B5F-B8E1-0E84AD161D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123" t="43871" r="19338" b="17799"/>
        <a:stretch/>
      </xdr:blipFill>
      <xdr:spPr>
        <a:xfrm>
          <a:off x="16180905" y="3922643"/>
          <a:ext cx="6831494" cy="1851818"/>
        </a:xfrm>
        <a:prstGeom prst="rect">
          <a:avLst/>
        </a:prstGeom>
      </xdr:spPr>
    </xdr:pic>
    <xdr:clientData/>
  </xdr:twoCellAnchor>
  <xdr:twoCellAnchor editAs="oneCell">
    <xdr:from>
      <xdr:col>10</xdr:col>
      <xdr:colOff>1032165</xdr:colOff>
      <xdr:row>29</xdr:row>
      <xdr:rowOff>103910</xdr:rowOff>
    </xdr:from>
    <xdr:to>
      <xdr:col>14</xdr:col>
      <xdr:colOff>207818</xdr:colOff>
      <xdr:row>37</xdr:row>
      <xdr:rowOff>72004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A9158F5-5303-485D-80CE-6EB0A92DE0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174" t="30374" r="10897" b="31669"/>
        <a:stretch/>
      </xdr:blipFill>
      <xdr:spPr>
        <a:xfrm>
          <a:off x="17373601" y="6573983"/>
          <a:ext cx="6857999" cy="1665276"/>
        </a:xfrm>
        <a:prstGeom prst="rect">
          <a:avLst/>
        </a:prstGeom>
      </xdr:spPr>
    </xdr:pic>
    <xdr:clientData/>
  </xdr:twoCellAnchor>
  <xdr:twoCellAnchor>
    <xdr:from>
      <xdr:col>14</xdr:col>
      <xdr:colOff>131618</xdr:colOff>
      <xdr:row>30</xdr:row>
      <xdr:rowOff>69273</xdr:rowOff>
    </xdr:from>
    <xdr:to>
      <xdr:col>14</xdr:col>
      <xdr:colOff>1440873</xdr:colOff>
      <xdr:row>30</xdr:row>
      <xdr:rowOff>96982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0C3DD207-293F-4A7C-AD53-622CBDCC4629}"/>
            </a:ext>
          </a:extLst>
        </xdr:cNvPr>
        <xdr:cNvCxnSpPr/>
      </xdr:nvCxnSpPr>
      <xdr:spPr>
        <a:xfrm>
          <a:off x="24155400" y="6975764"/>
          <a:ext cx="1309255" cy="27709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1932707</xdr:colOff>
      <xdr:row>75</xdr:row>
      <xdr:rowOff>235527</xdr:rowOff>
    </xdr:from>
    <xdr:to>
      <xdr:col>12</xdr:col>
      <xdr:colOff>263236</xdr:colOff>
      <xdr:row>84</xdr:row>
      <xdr:rowOff>87061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B9B3C128-A444-4B8B-B66B-385493AE33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098" t="37042" r="11050" b="25916"/>
        <a:stretch/>
      </xdr:blipFill>
      <xdr:spPr>
        <a:xfrm>
          <a:off x="12538362" y="16306800"/>
          <a:ext cx="7523019" cy="1784243"/>
        </a:xfrm>
        <a:prstGeom prst="rect">
          <a:avLst/>
        </a:prstGeom>
      </xdr:spPr>
    </xdr:pic>
    <xdr:clientData/>
  </xdr:twoCellAnchor>
  <xdr:twoCellAnchor editAs="oneCell">
    <xdr:from>
      <xdr:col>8</xdr:col>
      <xdr:colOff>942108</xdr:colOff>
      <xdr:row>89</xdr:row>
      <xdr:rowOff>26768</xdr:rowOff>
    </xdr:from>
    <xdr:to>
      <xdr:col>11</xdr:col>
      <xdr:colOff>2119746</xdr:colOff>
      <xdr:row>97</xdr:row>
      <xdr:rowOff>67323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78F25554-53B6-41ED-8CA5-38DCA886F7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985" t="47481" r="10709" b="14669"/>
        <a:stretch/>
      </xdr:blipFill>
      <xdr:spPr>
        <a:xfrm>
          <a:off x="13577453" y="19243023"/>
          <a:ext cx="6144493" cy="1481427"/>
        </a:xfrm>
        <a:prstGeom prst="rect">
          <a:avLst/>
        </a:prstGeom>
      </xdr:spPr>
    </xdr:pic>
    <xdr:clientData/>
  </xdr:twoCellAnchor>
  <xdr:twoCellAnchor editAs="oneCell">
    <xdr:from>
      <xdr:col>9</xdr:col>
      <xdr:colOff>858979</xdr:colOff>
      <xdr:row>102</xdr:row>
      <xdr:rowOff>34640</xdr:rowOff>
    </xdr:from>
    <xdr:to>
      <xdr:col>13</xdr:col>
      <xdr:colOff>311725</xdr:colOff>
      <xdr:row>111</xdr:row>
      <xdr:rowOff>1854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B0487AA2-5502-4F0F-B39E-B4671B2C47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1250" t="43843" r="10709" b="19048"/>
        <a:stretch/>
      </xdr:blipFill>
      <xdr:spPr>
        <a:xfrm>
          <a:off x="15461670" y="22194985"/>
          <a:ext cx="6698673" cy="1588196"/>
        </a:xfrm>
        <a:prstGeom prst="rect">
          <a:avLst/>
        </a:prstGeom>
      </xdr:spPr>
    </xdr:pic>
    <xdr:clientData/>
  </xdr:twoCellAnchor>
  <xdr:twoCellAnchor>
    <xdr:from>
      <xdr:col>14</xdr:col>
      <xdr:colOff>284018</xdr:colOff>
      <xdr:row>31</xdr:row>
      <xdr:rowOff>41564</xdr:rowOff>
    </xdr:from>
    <xdr:to>
      <xdr:col>14</xdr:col>
      <xdr:colOff>1593273</xdr:colOff>
      <xdr:row>31</xdr:row>
      <xdr:rowOff>69273</xdr:rowOff>
    </xdr:to>
    <xdr:cxnSp macro="">
      <xdr:nvCxnSpPr>
        <xdr:cNvPr id="13" name="Conector recto de flecha 12">
          <a:extLst>
            <a:ext uri="{FF2B5EF4-FFF2-40B4-BE49-F238E27FC236}">
              <a16:creationId xmlns:a16="http://schemas.microsoft.com/office/drawing/2014/main" id="{BA5A605C-9C78-47E5-94FB-71EFD79CE23D}"/>
            </a:ext>
          </a:extLst>
        </xdr:cNvPr>
        <xdr:cNvCxnSpPr/>
      </xdr:nvCxnSpPr>
      <xdr:spPr>
        <a:xfrm>
          <a:off x="24307800" y="7128164"/>
          <a:ext cx="1309255" cy="27709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1828801</xdr:colOff>
      <xdr:row>117</xdr:row>
      <xdr:rowOff>33453</xdr:rowOff>
    </xdr:from>
    <xdr:to>
      <xdr:col>12</xdr:col>
      <xdr:colOff>1136074</xdr:colOff>
      <xdr:row>125</xdr:row>
      <xdr:rowOff>135722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F4BAD389-FD5C-4A1B-875E-E30AEB391F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985" t="32799" r="10860" b="29822"/>
        <a:stretch/>
      </xdr:blipFill>
      <xdr:spPr>
        <a:xfrm>
          <a:off x="14464146" y="25207162"/>
          <a:ext cx="6470073" cy="154314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295275</xdr:colOff>
      <xdr:row>25</xdr:row>
      <xdr:rowOff>19050</xdr:rowOff>
    </xdr:from>
    <xdr:to>
      <xdr:col>3</xdr:col>
      <xdr:colOff>628650</xdr:colOff>
      <xdr:row>32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133350</xdr:colOff>
      <xdr:row>25</xdr:row>
      <xdr:rowOff>85725</xdr:rowOff>
    </xdr:from>
    <xdr:to>
      <xdr:col>9</xdr:col>
      <xdr:colOff>438150</xdr:colOff>
      <xdr:row>32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19050</xdr:colOff>
      <xdr:row>25</xdr:row>
      <xdr:rowOff>38100</xdr:rowOff>
    </xdr:from>
    <xdr:to>
      <xdr:col>15</xdr:col>
      <xdr:colOff>523875</xdr:colOff>
      <xdr:row>31</xdr:row>
      <xdr:rowOff>190499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371475</xdr:colOff>
      <xdr:row>25</xdr:row>
      <xdr:rowOff>114300</xdr:rowOff>
    </xdr:from>
    <xdr:to>
      <xdr:col>21</xdr:col>
      <xdr:colOff>485775</xdr:colOff>
      <xdr:row>31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942975</xdr:colOff>
      <xdr:row>25</xdr:row>
      <xdr:rowOff>76200</xdr:rowOff>
    </xdr:from>
    <xdr:to>
      <xdr:col>27</xdr:col>
      <xdr:colOff>695325</xdr:colOff>
      <xdr:row>31</xdr:row>
      <xdr:rowOff>47625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32</xdr:col>
      <xdr:colOff>304800</xdr:colOff>
      <xdr:row>25</xdr:row>
      <xdr:rowOff>19050</xdr:rowOff>
    </xdr:from>
    <xdr:to>
      <xdr:col>33</xdr:col>
      <xdr:colOff>352425</xdr:colOff>
      <xdr:row>31</xdr:row>
      <xdr:rowOff>142875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37</xdr:col>
      <xdr:colOff>314325</xdr:colOff>
      <xdr:row>25</xdr:row>
      <xdr:rowOff>85724</xdr:rowOff>
    </xdr:from>
    <xdr:to>
      <xdr:col>39</xdr:col>
      <xdr:colOff>352425</xdr:colOff>
      <xdr:row>31</xdr:row>
      <xdr:rowOff>152399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GEE\PROYECTOS\NAMAS\MRV\Sistema%20MRV\Medidas%20de%20mitigaci&#243;n\Soporte\Eficiencia%20energ&#233;tica\Refrigeradores\Consumos%20refrigeradora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GEE\PROYECTOS\NAMAS\MRV\Sistema%20MRV\Medidas%20de%20mitigaci&#243;n\Soporte\Eficiencia%20energ&#233;tica\Calentadores\Consumos%20calentadore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GEE\PROYECTOS\NAMAS\MRV\Sistema%20MRV\Medidas%20de%20mitigaci&#243;n\Soporte\Eficiencia%20energ&#233;tica\Secadoras\Consumos%20secadora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GEE\PROYECTOS\NAMAS\MRV\Sistema%20MRV\Medidas%20de%20mitigaci&#243;n\Soporte\Eficiencia%20energ&#233;tica\Factores%20de%20emisi&#243;n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GEE\PROYECTOS\NAMAS\RAGEI\RAGEI%202016\3.%20Libro%20de%20c&#225;lculo\INGEI2016%20-%20Energ&#237;a%20(Fuentes%20estacionarias%20y%20emisiones%20fugitivas)%20V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pectos Generales"/>
      <sheetName val="Categoría 1"/>
      <sheetName val="Categoría 2"/>
      <sheetName val="Categoría 3"/>
      <sheetName val="Categoría 4"/>
      <sheetName val="Categoría 5"/>
      <sheetName val="Categoría 6"/>
      <sheetName val="Categoría 7"/>
      <sheetName val="Resum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D4">
            <v>184.39431999999999</v>
          </cell>
          <cell r="E4">
            <v>217.92055999999999</v>
          </cell>
          <cell r="F4">
            <v>284.97304000000003</v>
          </cell>
          <cell r="G4">
            <v>343.64395999999999</v>
          </cell>
          <cell r="H4">
            <v>393.93332000000004</v>
          </cell>
          <cell r="I4">
            <v>460.98580000000004</v>
          </cell>
          <cell r="J4">
            <v>502.89359999999999</v>
          </cell>
        </row>
        <row r="5">
          <cell r="D5">
            <v>203.7706</v>
          </cell>
          <cell r="E5">
            <v>240.81979999999999</v>
          </cell>
          <cell r="F5">
            <v>314.91820000000001</v>
          </cell>
          <cell r="G5">
            <v>379.7543</v>
          </cell>
          <cell r="H5">
            <v>435.32810000000006</v>
          </cell>
          <cell r="I5">
            <v>509.42650000000003</v>
          </cell>
          <cell r="J5">
            <v>555.73800000000006</v>
          </cell>
        </row>
        <row r="6">
          <cell r="D6">
            <v>231.45099999999999</v>
          </cell>
          <cell r="E6">
            <v>273.53300000000002</v>
          </cell>
          <cell r="F6">
            <v>357.69699999999995</v>
          </cell>
          <cell r="G6">
            <v>431.34050000000002</v>
          </cell>
          <cell r="H6">
            <v>494.46350000000001</v>
          </cell>
          <cell r="I6">
            <v>578.62750000000005</v>
          </cell>
          <cell r="J6">
            <v>631.23</v>
          </cell>
        </row>
        <row r="7">
          <cell r="D7">
            <v>250.82728</v>
          </cell>
          <cell r="E7">
            <v>296.43223999999998</v>
          </cell>
          <cell r="F7">
            <v>387.64215999999999</v>
          </cell>
          <cell r="G7">
            <v>467.45084000000003</v>
          </cell>
          <cell r="H7">
            <v>535.85828000000004</v>
          </cell>
          <cell r="I7">
            <v>627.06820000000005</v>
          </cell>
          <cell r="J7">
            <v>684.07439999999997</v>
          </cell>
        </row>
        <row r="8">
          <cell r="D8">
            <v>176.64380800000004</v>
          </cell>
          <cell r="E8">
            <v>208.760864</v>
          </cell>
          <cell r="F8">
            <v>272.99497600000001</v>
          </cell>
          <cell r="G8">
            <v>329.19982400000004</v>
          </cell>
          <cell r="H8">
            <v>377.37540800000005</v>
          </cell>
          <cell r="I8">
            <v>441.60952000000003</v>
          </cell>
          <cell r="J8">
            <v>481.75584000000003</v>
          </cell>
        </row>
        <row r="9">
          <cell r="D9">
            <v>189.23839000000001</v>
          </cell>
          <cell r="E9">
            <v>223.64537000000001</v>
          </cell>
          <cell r="F9">
            <v>292.45932999999997</v>
          </cell>
          <cell r="G9">
            <v>352.67154499999998</v>
          </cell>
          <cell r="H9">
            <v>404.28201499999994</v>
          </cell>
          <cell r="I9">
            <v>473.09597499999995</v>
          </cell>
          <cell r="J9">
            <v>516.10469999999998</v>
          </cell>
        </row>
        <row r="10">
          <cell r="D10">
            <v>207.23065000000003</v>
          </cell>
          <cell r="E10">
            <v>244.90895</v>
          </cell>
          <cell r="F10">
            <v>320.26555000000002</v>
          </cell>
          <cell r="G10">
            <v>386.20257500000002</v>
          </cell>
          <cell r="H10">
            <v>442.72002500000002</v>
          </cell>
          <cell r="I10">
            <v>518.07662500000004</v>
          </cell>
          <cell r="J10">
            <v>565.17450000000008</v>
          </cell>
        </row>
        <row r="11">
          <cell r="D11">
            <v>219.825232</v>
          </cell>
          <cell r="E11">
            <v>259.79345599999999</v>
          </cell>
          <cell r="F11">
            <v>339.72990399999998</v>
          </cell>
          <cell r="G11">
            <v>409.67429599999997</v>
          </cell>
          <cell r="H11">
            <v>469.62663199999997</v>
          </cell>
          <cell r="I11">
            <v>549.56308000000001</v>
          </cell>
          <cell r="J11">
            <v>599.52335999999991</v>
          </cell>
        </row>
        <row r="12">
          <cell r="D12">
            <v>189.93039999999996</v>
          </cell>
          <cell r="E12">
            <v>224.4632</v>
          </cell>
          <cell r="F12">
            <v>293.52879999999999</v>
          </cell>
          <cell r="G12">
            <v>353.96119999999996</v>
          </cell>
          <cell r="H12">
            <v>405.76039999999995</v>
          </cell>
          <cell r="I12">
            <v>474.82599999999996</v>
          </cell>
          <cell r="J12">
            <v>517.99199999999996</v>
          </cell>
        </row>
        <row r="13">
          <cell r="D13">
            <v>214.15075000000002</v>
          </cell>
          <cell r="E13">
            <v>253.08725000000001</v>
          </cell>
          <cell r="F13">
            <v>330.96025000000003</v>
          </cell>
          <cell r="G13">
            <v>399.09912499999996</v>
          </cell>
          <cell r="H13">
            <v>457.50387500000005</v>
          </cell>
          <cell r="I13">
            <v>535.37687500000004</v>
          </cell>
          <cell r="J13">
            <v>584.04750000000001</v>
          </cell>
        </row>
        <row r="14">
          <cell r="D14">
            <v>248.75125</v>
          </cell>
          <cell r="E14">
            <v>293.97874999999999</v>
          </cell>
          <cell r="F14">
            <v>384.43374999999997</v>
          </cell>
          <cell r="G14">
            <v>463.58187500000003</v>
          </cell>
          <cell r="H14">
            <v>531.42312500000003</v>
          </cell>
          <cell r="I14">
            <v>621.87812499999995</v>
          </cell>
          <cell r="J14">
            <v>678.41250000000002</v>
          </cell>
        </row>
        <row r="15">
          <cell r="D15">
            <v>272.97160000000002</v>
          </cell>
          <cell r="E15">
            <v>322.6028</v>
          </cell>
          <cell r="F15">
            <v>421.86520000000002</v>
          </cell>
          <cell r="G15">
            <v>508.71980000000002</v>
          </cell>
          <cell r="H15">
            <v>583.16660000000002</v>
          </cell>
          <cell r="I15">
            <v>682.42900000000009</v>
          </cell>
          <cell r="J15">
            <v>744.46800000000007</v>
          </cell>
        </row>
        <row r="16">
          <cell r="D16">
            <v>227.27161599999999</v>
          </cell>
          <cell r="E16">
            <v>268.593728</v>
          </cell>
          <cell r="F16">
            <v>351.23795200000001</v>
          </cell>
          <cell r="G16">
            <v>423.551648</v>
          </cell>
          <cell r="H16">
            <v>485.53481599999998</v>
          </cell>
          <cell r="I16">
            <v>568.17903999999999</v>
          </cell>
          <cell r="J16">
            <v>619.83168000000001</v>
          </cell>
        </row>
        <row r="17">
          <cell r="D17">
            <v>310.15303000000006</v>
          </cell>
          <cell r="E17">
            <v>366.54449000000005</v>
          </cell>
          <cell r="F17">
            <v>479.3274100000001</v>
          </cell>
          <cell r="G17">
            <v>578.01246500000013</v>
          </cell>
          <cell r="H17">
            <v>662.5996550000001</v>
          </cell>
          <cell r="I17">
            <v>775.38257500000009</v>
          </cell>
          <cell r="J17">
            <v>845.87189999999998</v>
          </cell>
        </row>
        <row r="18">
          <cell r="D18">
            <v>428.55505000000005</v>
          </cell>
          <cell r="E18">
            <v>506.47415000000001</v>
          </cell>
          <cell r="F18">
            <v>662.31235000000004</v>
          </cell>
          <cell r="G18">
            <v>798.67077500000005</v>
          </cell>
        </row>
        <row r="19">
          <cell r="D19">
            <v>511.436464</v>
          </cell>
          <cell r="E19">
            <v>604.42491199999995</v>
          </cell>
          <cell r="F19">
            <v>790.40180800000007</v>
          </cell>
          <cell r="G19">
            <v>953.13159199999996</v>
          </cell>
          <cell r="H19">
            <v>1092.614264</v>
          </cell>
          <cell r="I19">
            <v>1278.5911599999999</v>
          </cell>
          <cell r="J19">
            <v>1394.82672</v>
          </cell>
        </row>
        <row r="20">
          <cell r="D20">
            <v>241.37079999999997</v>
          </cell>
          <cell r="E20">
            <v>285.25639999999999</v>
          </cell>
          <cell r="F20">
            <v>373.02760000000001</v>
          </cell>
          <cell r="G20">
            <v>449.82739999999995</v>
          </cell>
          <cell r="H20">
            <v>515.6558</v>
          </cell>
          <cell r="I20">
            <v>603.42700000000002</v>
          </cell>
          <cell r="J20">
            <v>658.28399999999999</v>
          </cell>
        </row>
        <row r="21">
          <cell r="D21">
            <v>310.60149999999999</v>
          </cell>
          <cell r="E21">
            <v>367.07450000000006</v>
          </cell>
          <cell r="F21">
            <v>480.02050000000003</v>
          </cell>
          <cell r="G21">
            <v>578.84825000000001</v>
          </cell>
          <cell r="H21">
            <v>663.55775000000006</v>
          </cell>
          <cell r="I21">
            <v>776.50374999999997</v>
          </cell>
          <cell r="J21">
            <v>847.09500000000003</v>
          </cell>
        </row>
        <row r="22">
          <cell r="D22">
            <v>409.5025</v>
          </cell>
          <cell r="E22">
            <v>483.95749999999998</v>
          </cell>
          <cell r="F22">
            <v>632.86749999999995</v>
          </cell>
          <cell r="G22">
            <v>763.16375000000005</v>
          </cell>
          <cell r="H22">
            <v>874.84625000000005</v>
          </cell>
          <cell r="I22">
            <v>1023.75625</v>
          </cell>
          <cell r="J22">
            <v>1116.825</v>
          </cell>
        </row>
        <row r="23">
          <cell r="D23">
            <v>478.73320000000001</v>
          </cell>
          <cell r="E23">
            <v>565.77559999999994</v>
          </cell>
          <cell r="F23">
            <v>739.86039999999991</v>
          </cell>
          <cell r="G23">
            <v>892.18459999999993</v>
          </cell>
          <cell r="H23">
            <v>1022.7481999999999</v>
          </cell>
          <cell r="I23">
            <v>1196.8330000000001</v>
          </cell>
          <cell r="J23">
            <v>1305.636</v>
          </cell>
        </row>
        <row r="24">
          <cell r="D24">
            <v>352.91907199999991</v>
          </cell>
          <cell r="E24">
            <v>417.08617599999997</v>
          </cell>
          <cell r="F24">
            <v>545.42038400000001</v>
          </cell>
          <cell r="G24">
            <v>657.71281599999986</v>
          </cell>
          <cell r="H24">
            <v>753.96347199999991</v>
          </cell>
          <cell r="I24">
            <v>882.29768000000001</v>
          </cell>
          <cell r="J24">
            <v>962.50655999999992</v>
          </cell>
        </row>
        <row r="25">
          <cell r="D25">
            <v>491.84201000000002</v>
          </cell>
          <cell r="E25">
            <v>581.26783</v>
          </cell>
          <cell r="F25">
            <v>760.11946999999998</v>
          </cell>
          <cell r="G25">
            <v>916.61465500000008</v>
          </cell>
          <cell r="H25">
            <v>1050.753385</v>
          </cell>
          <cell r="I25">
            <v>1229.6050250000001</v>
          </cell>
          <cell r="J25">
            <v>1341.3873000000001</v>
          </cell>
        </row>
        <row r="26">
          <cell r="D26">
            <v>690.30334999999991</v>
          </cell>
          <cell r="E26">
            <v>815.81304999999998</v>
          </cell>
          <cell r="F26">
            <v>1066.8324499999999</v>
          </cell>
          <cell r="G26">
            <v>1286.4744250000001</v>
          </cell>
          <cell r="H26">
            <v>1474.738975</v>
          </cell>
          <cell r="I26">
            <v>1725.7583749999999</v>
          </cell>
          <cell r="J26">
            <v>1882.6454999999999</v>
          </cell>
        </row>
        <row r="27">
          <cell r="D27">
            <v>829.22628799999995</v>
          </cell>
          <cell r="E27">
            <v>979.99470399999996</v>
          </cell>
          <cell r="F27">
            <v>1281.5315359999997</v>
          </cell>
          <cell r="G27">
            <v>1545.3762639999998</v>
          </cell>
          <cell r="H27">
            <v>1771.5288879999998</v>
          </cell>
          <cell r="I27">
            <v>2073.0657200000001</v>
          </cell>
          <cell r="J27">
            <v>2261.5262399999997</v>
          </cell>
        </row>
        <row r="28">
          <cell r="D28">
            <v>286.45759999999996</v>
          </cell>
          <cell r="E28">
            <v>338.54079999999999</v>
          </cell>
          <cell r="F28">
            <v>442.7072</v>
          </cell>
          <cell r="G28">
            <v>533.8528</v>
          </cell>
          <cell r="H28">
            <v>611.97760000000005</v>
          </cell>
          <cell r="I28">
            <v>716.14399999999989</v>
          </cell>
          <cell r="J28">
            <v>781.24800000000005</v>
          </cell>
        </row>
        <row r="29">
          <cell r="D29">
            <v>367.22674999999998</v>
          </cell>
          <cell r="E29">
            <v>433.99524999999994</v>
          </cell>
          <cell r="F29">
            <v>567.53224999999998</v>
          </cell>
          <cell r="G29">
            <v>684.37712499999998</v>
          </cell>
          <cell r="H29">
            <v>784.52987499999983</v>
          </cell>
          <cell r="I29">
            <v>918.06687499999987</v>
          </cell>
          <cell r="J29">
            <v>1001.5274999999998</v>
          </cell>
        </row>
        <row r="30">
          <cell r="D30">
            <v>482.61124999999998</v>
          </cell>
          <cell r="E30">
            <v>570.35874999999999</v>
          </cell>
          <cell r="F30">
            <v>745.85374999999999</v>
          </cell>
          <cell r="G30">
            <v>899.41187500000001</v>
          </cell>
          <cell r="H30">
            <v>1031.0331249999999</v>
          </cell>
          <cell r="I30">
            <v>1206.528125</v>
          </cell>
          <cell r="J30">
            <v>1316.2125000000001</v>
          </cell>
        </row>
        <row r="31">
          <cell r="D31">
            <v>563.38040000000001</v>
          </cell>
          <cell r="E31">
            <v>665.81319999999994</v>
          </cell>
          <cell r="F31">
            <v>870.67880000000002</v>
          </cell>
          <cell r="G31">
            <v>1049.9361999999999</v>
          </cell>
          <cell r="H31">
            <v>1203.5853999999999</v>
          </cell>
          <cell r="I31">
            <v>1408.451</v>
          </cell>
          <cell r="J31">
            <v>1536.4919999999997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pectos generales"/>
      <sheetName val="CEA"/>
      <sheetName val="CEI"/>
      <sheetName val="CGA"/>
      <sheetName val="CGI"/>
      <sheetName val="Resumen"/>
    </sheetNames>
    <sheetDataSet>
      <sheetData sheetId="0"/>
      <sheetData sheetId="1">
        <row r="21">
          <cell r="C21">
            <v>180.14331321022726</v>
          </cell>
          <cell r="D21">
            <v>600.4777107007576</v>
          </cell>
          <cell r="E21">
            <v>1801.433132102273</v>
          </cell>
          <cell r="F21">
            <v>185.30229763296319</v>
          </cell>
          <cell r="G21">
            <v>625.34956854043412</v>
          </cell>
          <cell r="H21">
            <v>1945.1057131901846</v>
          </cell>
          <cell r="I21">
            <v>198.87857938150796</v>
          </cell>
          <cell r="J21">
            <v>688.94443991742742</v>
          </cell>
          <cell r="K21">
            <v>2327.8431075624085</v>
          </cell>
          <cell r="L21">
            <v>211.65035463951938</v>
          </cell>
          <cell r="M21">
            <v>754.88626488095235</v>
          </cell>
          <cell r="N21">
            <v>2830.8234933035715</v>
          </cell>
          <cell r="O21">
            <v>229.24962490961678</v>
          </cell>
          <cell r="P21">
            <v>845.4726166666668</v>
          </cell>
          <cell r="Q21">
            <v>3644.2785201149431</v>
          </cell>
          <cell r="R21">
            <v>246.73325389105057</v>
          </cell>
          <cell r="S21">
            <v>952.10880255255279</v>
          </cell>
          <cell r="T21">
            <v>5197.5775614754102</v>
          </cell>
          <cell r="U21">
            <v>270.98481303418799</v>
          </cell>
          <cell r="V21">
            <v>1100.8758029513892</v>
          </cell>
          <cell r="W21">
            <v>8807.006423611112</v>
          </cell>
        </row>
      </sheetData>
      <sheetData sheetId="2">
        <row r="5">
          <cell r="C5">
            <v>2.4</v>
          </cell>
          <cell r="D5">
            <v>2.95</v>
          </cell>
          <cell r="E5">
            <v>4.05</v>
          </cell>
          <cell r="F5">
            <v>5.15</v>
          </cell>
          <cell r="G5">
            <v>6.25</v>
          </cell>
          <cell r="H5">
            <v>7.35</v>
          </cell>
          <cell r="I5">
            <v>7.9</v>
          </cell>
        </row>
        <row r="7">
          <cell r="C7">
            <v>289.08000000000004</v>
          </cell>
          <cell r="D7">
            <v>355.32750000000004</v>
          </cell>
          <cell r="E7">
            <v>487.82249999999999</v>
          </cell>
          <cell r="F7">
            <v>620.31750000000011</v>
          </cell>
          <cell r="G7">
            <v>752.8125</v>
          </cell>
          <cell r="H7">
            <v>885.3075</v>
          </cell>
          <cell r="I7">
            <v>951.55500000000006</v>
          </cell>
        </row>
      </sheetData>
      <sheetData sheetId="3">
        <row r="21">
          <cell r="C21">
            <v>22.155017759339628</v>
          </cell>
          <cell r="D21">
            <v>110.77508879669814</v>
          </cell>
          <cell r="E21">
            <v>22.573036962346041</v>
          </cell>
          <cell r="F21">
            <v>112.8651848117302</v>
          </cell>
          <cell r="G21">
            <v>23.458254098124314</v>
          </cell>
          <cell r="H21">
            <v>117.29127049062157</v>
          </cell>
          <cell r="I21">
            <v>24.415733857231434</v>
          </cell>
          <cell r="J21">
            <v>122.07866928615717</v>
          </cell>
          <cell r="K21">
            <v>25.275442795866343</v>
          </cell>
          <cell r="L21">
            <v>126.37721397933173</v>
          </cell>
          <cell r="M21">
            <v>26.008064326181305</v>
          </cell>
          <cell r="N21">
            <v>130.04032163090656</v>
          </cell>
          <cell r="O21">
            <v>26.39053586038985</v>
          </cell>
          <cell r="P21">
            <v>135.95124534140228</v>
          </cell>
        </row>
        <row r="22">
          <cell r="C22">
            <v>28.938661873278726</v>
          </cell>
          <cell r="D22">
            <v>144.69330936639366</v>
          </cell>
          <cell r="E22">
            <v>29.484674361453798</v>
          </cell>
          <cell r="F22">
            <v>147.42337180726901</v>
          </cell>
          <cell r="G22">
            <v>30.640936101118658</v>
          </cell>
          <cell r="H22">
            <v>153.20468050559327</v>
          </cell>
          <cell r="I22">
            <v>31.89158655422554</v>
          </cell>
          <cell r="J22">
            <v>159.45793277112773</v>
          </cell>
          <cell r="K22">
            <v>33.014529742754604</v>
          </cell>
          <cell r="L22">
            <v>165.07264871377305</v>
          </cell>
          <cell r="M22">
            <v>33.971472633848947</v>
          </cell>
          <cell r="N22">
            <v>169.85736316924473</v>
          </cell>
          <cell r="O22">
            <v>34.471053113758487</v>
          </cell>
          <cell r="P22">
            <v>177.57815240421039</v>
          </cell>
        </row>
      </sheetData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pectos generales"/>
      <sheetName val="Calculos"/>
      <sheetName val="Resumen"/>
    </sheetNames>
    <sheetDataSet>
      <sheetData sheetId="0"/>
      <sheetData sheetId="1"/>
      <sheetData sheetId="2">
        <row r="4">
          <cell r="D4">
            <v>21.566399999999998</v>
          </cell>
          <cell r="E4">
            <v>25.004000000000005</v>
          </cell>
          <cell r="F4">
            <v>33.041000000000004</v>
          </cell>
          <cell r="G4">
            <v>47.775500000000001</v>
          </cell>
          <cell r="H4">
            <v>62.956500000000005</v>
          </cell>
          <cell r="I4">
            <v>71.886500000000012</v>
          </cell>
          <cell r="J4">
            <v>75.905000000000015</v>
          </cell>
        </row>
        <row r="5">
          <cell r="D5">
            <v>23.856000000000005</v>
          </cell>
          <cell r="E5">
            <v>27.635999999999999</v>
          </cell>
          <cell r="F5">
            <v>36.518999999999998</v>
          </cell>
          <cell r="G5">
            <v>52.804499999999997</v>
          </cell>
          <cell r="H5">
            <v>69.583500000000001</v>
          </cell>
          <cell r="I5">
            <v>79.453500000000005</v>
          </cell>
          <cell r="J5">
            <v>83.894999999999996</v>
          </cell>
        </row>
        <row r="6">
          <cell r="D6">
            <v>29.58</v>
          </cell>
          <cell r="E6">
            <v>34.216000000000001</v>
          </cell>
          <cell r="F6">
            <v>45.214000000000006</v>
          </cell>
          <cell r="G6">
            <v>65.376999999999995</v>
          </cell>
          <cell r="H6">
            <v>86.15100000000001</v>
          </cell>
          <cell r="I6">
            <v>98.371000000000009</v>
          </cell>
          <cell r="J6">
            <v>103.87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</sheetNames>
    <sheetDataSet>
      <sheetData sheetId="0">
        <row r="5">
          <cell r="N5">
            <v>0.59799999999999998</v>
          </cell>
        </row>
        <row r="11">
          <cell r="N11">
            <v>0.61926999999999999</v>
          </cell>
        </row>
        <row r="23">
          <cell r="N23">
            <v>0.62709999999999999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 QC"/>
      <sheetName val="Instrucciones"/>
      <sheetName val="Características de datos"/>
      <sheetName val="IB 1A1ai y aii-1A1b-1A1ci y cii"/>
      <sheetName val="IP 1A1ai y aii-1A1b-1A1ci y cii"/>
      <sheetName val="GEI - 1A1ai "/>
      <sheetName val="PyO - 1A1ai"/>
      <sheetName val="GEI-1A1aii"/>
      <sheetName val="PyO - 1A1aii"/>
      <sheetName val="GEI 1A1b "/>
      <sheetName val="PyO - 1A1b"/>
      <sheetName val="GEI - 1A1ci "/>
      <sheetName val="PyO - 1A1ci"/>
      <sheetName val="GEI - 1A1cii "/>
      <sheetName val="PyO - 1A1cii"/>
      <sheetName val="IB 1A3ei"/>
      <sheetName val="IP 1A3ei"/>
      <sheetName val="GEI - 1A3ei"/>
      <sheetName val="PyO - 1A3ei"/>
      <sheetName val="IB 1A2-1A4"/>
      <sheetName val="IP 1A2-1A4"/>
      <sheetName val="GEI - 1A2i "/>
      <sheetName val="PyO - 1A2i"/>
      <sheetName val="GEI - 1A2m "/>
      <sheetName val="PyO - 1A2m"/>
      <sheetName val="GEI - 1A4a"/>
      <sheetName val="PyO - 1A4a"/>
      <sheetName val="GEI - 1A4b"/>
      <sheetName val="PyO - 1A4b"/>
      <sheetName val="GEI - 1A4c"/>
      <sheetName val="GEI - 1A4c (cont.) "/>
      <sheetName val="Hoja1"/>
      <sheetName val="PyO - 1A4c"/>
      <sheetName val="IB 1B1a"/>
      <sheetName val="IP 1B1a"/>
      <sheetName val="GEI - 1B1a"/>
      <sheetName val="IB 1B2a"/>
      <sheetName val="IB 1B2b"/>
      <sheetName val="IP 1B2a"/>
      <sheetName val="IP 1B2b"/>
      <sheetName val="GEI -1B2"/>
      <sheetName val="PyO - 1B2"/>
      <sheetName val="Fact. con."/>
      <sheetName val="FE CE"/>
      <sheetName val="FE GN2014"/>
      <sheetName val="M. Referencia"/>
      <sheetName val="FE GN"/>
      <sheetName val="FE EF"/>
      <sheetName val="FE PyO"/>
      <sheetName val="Met. Ref."/>
      <sheetName val="NO CONSIDERADAS ANTES"/>
      <sheetName val="Resultados GEI"/>
      <sheetName val="Resumen Energía 2016"/>
      <sheetName val="Hoja3"/>
      <sheetName val="Categorías principales"/>
      <sheetName val="INGEI 2010"/>
      <sheetName val="Incertidumbre"/>
      <sheetName val="Valores incertidumbre"/>
      <sheetName val="Situación sectorial"/>
      <sheetName val="Hoj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98">
          <cell r="J98">
            <v>5.5792392151877502E-4</v>
          </cell>
        </row>
        <row r="106">
          <cell r="J106">
            <v>7.8759457241021667E-7</v>
          </cell>
        </row>
        <row r="179">
          <cell r="E179">
            <v>2.6392697222457118E-2</v>
          </cell>
          <cell r="F179" t="str">
            <v>TJ/m3</v>
          </cell>
        </row>
        <row r="180">
          <cell r="E180">
            <v>3.6036968416892283E-5</v>
          </cell>
          <cell r="F180" t="str">
            <v>TJ/m3</v>
          </cell>
        </row>
      </sheetData>
      <sheetData sheetId="43">
        <row r="11">
          <cell r="F11">
            <v>69300</v>
          </cell>
        </row>
        <row r="16">
          <cell r="F16">
            <v>63100</v>
          </cell>
          <cell r="I16">
            <v>1</v>
          </cell>
          <cell r="L16">
            <v>0.1</v>
          </cell>
        </row>
        <row r="24">
          <cell r="I24">
            <v>1</v>
          </cell>
          <cell r="L24">
            <v>0.1</v>
          </cell>
        </row>
        <row r="39">
          <cell r="F39">
            <v>56126.26334612057</v>
          </cell>
        </row>
      </sheetData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://www.minem.gob.pe/minem/archivos/Cap%C3%83%C2%ADtulo1_-%20Balance%20y%20Principales%20Indicadores%20El%C3%83%C2%A9ctricos%202010%20(2).pdf" TargetMode="External"/><Relationship Id="rId3" Type="http://schemas.openxmlformats.org/officeDocument/2006/relationships/hyperlink" Target="http://www.minem.gob.pe/minem/archivos/Capitulo%201%20Indicadores%20FINAL.pdf" TargetMode="External"/><Relationship Id="rId7" Type="http://schemas.openxmlformats.org/officeDocument/2006/relationships/hyperlink" Target="http://www.minem.gob.pe/minem/archivos/Cap_1_%20%20Balance%20y%20Principales%20Indicadores%202011.pdf" TargetMode="External"/><Relationship Id="rId12" Type="http://schemas.openxmlformats.org/officeDocument/2006/relationships/comments" Target="../comments3.xml"/><Relationship Id="rId2" Type="http://schemas.openxmlformats.org/officeDocument/2006/relationships/hyperlink" Target="http://www.minem.gob.pe/minem/archivos/Capitulo%201%20%20Balance%20e%20Indicadores%202016.pdf" TargetMode="External"/><Relationship Id="rId1" Type="http://schemas.openxmlformats.org/officeDocument/2006/relationships/hyperlink" Target="http://www.minem.gob.pe/minem/archivos/Capitulo%201%20Balance%20e%20Indicadores%202017.pdf" TargetMode="External"/><Relationship Id="rId6" Type="http://schemas.openxmlformats.org/officeDocument/2006/relationships/hyperlink" Target="http://www.minem.gob.pe/minem/archivos/Capitulo%201%20%20Balance%20y%20Principales%20Indicadores%202012.pdf" TargetMode="External"/><Relationship Id="rId11" Type="http://schemas.openxmlformats.org/officeDocument/2006/relationships/vmlDrawing" Target="../drawings/vmlDrawing3.vml"/><Relationship Id="rId5" Type="http://schemas.openxmlformats.org/officeDocument/2006/relationships/hyperlink" Target="http://www.minem.gob.pe/minem/archivos/Capitulo%201%20%20Balance%20y%20Principales%20Indicadores%202013.pdf" TargetMode="External"/><Relationship Id="rId10" Type="http://schemas.openxmlformats.org/officeDocument/2006/relationships/printerSettings" Target="../printerSettings/printerSettings5.bin"/><Relationship Id="rId4" Type="http://schemas.openxmlformats.org/officeDocument/2006/relationships/hyperlink" Target="http://www.minem.gob.pe/minem/archivos/BALANCE%20E%20INDICADORES%202014.pdf" TargetMode="External"/><Relationship Id="rId9" Type="http://schemas.openxmlformats.org/officeDocument/2006/relationships/hyperlink" Target="https://www.ghgprotocol.org/sites/default/files/ghgp/Global-Warming-Potential-Values%20%28Feb%2016%202016%29_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45"/>
  <sheetViews>
    <sheetView zoomScaleNormal="100" workbookViewId="0">
      <selection activeCell="C35" sqref="C35"/>
    </sheetView>
  </sheetViews>
  <sheetFormatPr baseColWidth="10" defaultColWidth="11.44140625" defaultRowHeight="14.4" x14ac:dyDescent="0.3"/>
  <cols>
    <col min="1" max="1" width="4" style="1" bestFit="1" customWidth="1"/>
    <col min="2" max="2" width="20.109375" style="1" customWidth="1"/>
    <col min="3" max="3" width="140.6640625" style="1" customWidth="1"/>
    <col min="4" max="4" width="29.44140625" style="1" customWidth="1"/>
    <col min="5" max="5" width="23.5546875" style="1" customWidth="1"/>
    <col min="6" max="16384" width="11.44140625" style="1"/>
  </cols>
  <sheetData>
    <row r="2" spans="1:5" s="36" customFormat="1" x14ac:dyDescent="0.3">
      <c r="A2" s="36">
        <v>1.1000000000000001</v>
      </c>
      <c r="B2" s="2" t="s">
        <v>33</v>
      </c>
    </row>
    <row r="3" spans="1:5" ht="11.25" customHeight="1" thickBot="1" x14ac:dyDescent="0.35"/>
    <row r="4" spans="1:5" ht="15" customHeight="1" x14ac:dyDescent="0.3">
      <c r="B4" s="319" t="s">
        <v>71</v>
      </c>
      <c r="C4" s="320"/>
      <c r="D4" s="320"/>
      <c r="E4" s="321"/>
    </row>
    <row r="5" spans="1:5" x14ac:dyDescent="0.3">
      <c r="B5" s="322"/>
      <c r="C5" s="323"/>
      <c r="D5" s="323"/>
      <c r="E5" s="324"/>
    </row>
    <row r="6" spans="1:5" x14ac:dyDescent="0.3">
      <c r="B6" s="322"/>
      <c r="C6" s="323"/>
      <c r="D6" s="323"/>
      <c r="E6" s="324"/>
    </row>
    <row r="7" spans="1:5" ht="15" thickBot="1" x14ac:dyDescent="0.35">
      <c r="B7" s="325"/>
      <c r="C7" s="326"/>
      <c r="D7" s="326"/>
      <c r="E7" s="327"/>
    </row>
    <row r="9" spans="1:5" x14ac:dyDescent="0.3">
      <c r="B9" s="38" t="s">
        <v>65</v>
      </c>
      <c r="C9" s="38" t="s">
        <v>66</v>
      </c>
      <c r="D9" s="38" t="s">
        <v>67</v>
      </c>
      <c r="E9" s="38" t="s">
        <v>68</v>
      </c>
    </row>
    <row r="10" spans="1:5" ht="51.75" customHeight="1" x14ac:dyDescent="0.3">
      <c r="B10" s="39" t="s">
        <v>33</v>
      </c>
      <c r="C10" s="41" t="s">
        <v>261</v>
      </c>
      <c r="D10" s="40" t="s">
        <v>74</v>
      </c>
      <c r="E10" s="39" t="s">
        <v>69</v>
      </c>
    </row>
    <row r="12" spans="1:5" ht="15.6" x14ac:dyDescent="0.3">
      <c r="B12" s="35" t="s">
        <v>150</v>
      </c>
    </row>
    <row r="14" spans="1:5" x14ac:dyDescent="0.3">
      <c r="B14"/>
    </row>
    <row r="17" spans="2:7" x14ac:dyDescent="0.3">
      <c r="B17" s="1" t="s">
        <v>53</v>
      </c>
    </row>
    <row r="18" spans="2:7" ht="16.2" x14ac:dyDescent="0.35">
      <c r="B18" s="37" t="s">
        <v>54</v>
      </c>
      <c r="C18" s="37" t="s">
        <v>55</v>
      </c>
      <c r="D18" s="37"/>
      <c r="E18" s="37"/>
      <c r="F18" s="37"/>
      <c r="G18" s="37"/>
    </row>
    <row r="19" spans="2:7" ht="16.2" x14ac:dyDescent="0.35">
      <c r="B19" s="37" t="s">
        <v>56</v>
      </c>
      <c r="C19" s="37" t="s">
        <v>57</v>
      </c>
      <c r="D19" s="37"/>
      <c r="E19" s="37"/>
      <c r="F19" s="37"/>
      <c r="G19" s="37"/>
    </row>
    <row r="20" spans="2:7" ht="16.2" x14ac:dyDescent="0.35">
      <c r="B20" s="37" t="s">
        <v>58</v>
      </c>
      <c r="C20" s="37" t="s">
        <v>59</v>
      </c>
      <c r="D20"/>
      <c r="E20" s="37"/>
      <c r="F20" s="37"/>
      <c r="G20" s="37"/>
    </row>
    <row r="21" spans="2:7" ht="16.2" x14ac:dyDescent="0.35">
      <c r="B21" s="37" t="s">
        <v>60</v>
      </c>
      <c r="C21" s="37" t="s">
        <v>186</v>
      </c>
      <c r="D21" s="37"/>
      <c r="E21" s="37"/>
      <c r="F21" s="37"/>
      <c r="G21" s="37"/>
    </row>
    <row r="22" spans="2:7" x14ac:dyDescent="0.3">
      <c r="B22" s="37" t="s">
        <v>61</v>
      </c>
      <c r="C22" s="37" t="s">
        <v>62</v>
      </c>
      <c r="D22" s="37"/>
      <c r="E22" s="37"/>
      <c r="F22" s="37"/>
      <c r="G22" s="37"/>
    </row>
    <row r="23" spans="2:7" ht="16.2" x14ac:dyDescent="0.35">
      <c r="B23" s="37" t="s">
        <v>63</v>
      </c>
      <c r="C23" s="37" t="s">
        <v>64</v>
      </c>
      <c r="D23" s="37"/>
      <c r="E23" s="37"/>
      <c r="F23" s="37"/>
      <c r="G23" s="37"/>
    </row>
    <row r="25" spans="2:7" x14ac:dyDescent="0.3">
      <c r="B25" s="123" t="s">
        <v>135</v>
      </c>
      <c r="C25" s="23"/>
    </row>
    <row r="28" spans="2:7" ht="15.6" x14ac:dyDescent="0.3">
      <c r="B28" s="35" t="s">
        <v>260</v>
      </c>
    </row>
    <row r="30" spans="2:7" ht="24.6" x14ac:dyDescent="0.3">
      <c r="B30" s="178" t="s">
        <v>211</v>
      </c>
    </row>
    <row r="32" spans="2:7" x14ac:dyDescent="0.3">
      <c r="B32" s="1" t="s">
        <v>212</v>
      </c>
    </row>
    <row r="33" spans="2:3" ht="15.6" x14ac:dyDescent="0.35">
      <c r="B33" s="1" t="s">
        <v>213</v>
      </c>
      <c r="C33" s="37" t="s">
        <v>214</v>
      </c>
    </row>
    <row r="34" spans="2:3" ht="15.6" x14ac:dyDescent="0.35">
      <c r="B34" s="1" t="s">
        <v>215</v>
      </c>
      <c r="C34" s="37" t="s">
        <v>216</v>
      </c>
    </row>
    <row r="35" spans="2:3" ht="15.6" x14ac:dyDescent="0.35">
      <c r="B35" s="1" t="s">
        <v>217</v>
      </c>
      <c r="C35" s="37" t="s">
        <v>218</v>
      </c>
    </row>
    <row r="36" spans="2:3" ht="15.6" x14ac:dyDescent="0.35">
      <c r="B36" s="1" t="s">
        <v>219</v>
      </c>
      <c r="C36" s="37" t="s">
        <v>220</v>
      </c>
    </row>
    <row r="37" spans="2:3" ht="15.6" x14ac:dyDescent="0.35">
      <c r="B37" s="1" t="s">
        <v>221</v>
      </c>
      <c r="C37" s="37" t="s">
        <v>222</v>
      </c>
    </row>
    <row r="38" spans="2:3" ht="15.6" x14ac:dyDescent="0.35">
      <c r="B38" s="1" t="s">
        <v>223</v>
      </c>
      <c r="C38" s="37" t="s">
        <v>224</v>
      </c>
    </row>
    <row r="39" spans="2:3" ht="15.6" x14ac:dyDescent="0.35">
      <c r="B39" s="1" t="s">
        <v>225</v>
      </c>
      <c r="C39" s="37" t="s">
        <v>226</v>
      </c>
    </row>
    <row r="40" spans="2:3" ht="15.6" x14ac:dyDescent="0.35">
      <c r="B40" s="1" t="s">
        <v>227</v>
      </c>
      <c r="C40" s="37" t="s">
        <v>218</v>
      </c>
    </row>
    <row r="41" spans="2:3" ht="15.6" x14ac:dyDescent="0.35">
      <c r="B41" s="1" t="s">
        <v>228</v>
      </c>
      <c r="C41" s="37" t="s">
        <v>229</v>
      </c>
    </row>
    <row r="42" spans="2:3" ht="15.6" x14ac:dyDescent="0.35">
      <c r="B42" s="1" t="s">
        <v>230</v>
      </c>
      <c r="C42" s="37" t="s">
        <v>231</v>
      </c>
    </row>
    <row r="43" spans="2:3" ht="15.6" x14ac:dyDescent="0.35">
      <c r="B43" s="1" t="s">
        <v>232</v>
      </c>
      <c r="C43" s="37" t="s">
        <v>233</v>
      </c>
    </row>
    <row r="44" spans="2:3" ht="15.6" x14ac:dyDescent="0.35">
      <c r="B44" s="1" t="s">
        <v>234</v>
      </c>
      <c r="C44" s="37" t="s">
        <v>235</v>
      </c>
    </row>
    <row r="45" spans="2:3" ht="15.6" x14ac:dyDescent="0.35">
      <c r="B45" s="1" t="s">
        <v>236</v>
      </c>
      <c r="C45" s="37" t="s">
        <v>237</v>
      </c>
    </row>
  </sheetData>
  <mergeCells count="1">
    <mergeCell ref="B4:E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S17"/>
  <sheetViews>
    <sheetView workbookViewId="0">
      <selection activeCell="E21" sqref="E21"/>
    </sheetView>
  </sheetViews>
  <sheetFormatPr baseColWidth="10" defaultColWidth="11.44140625" defaultRowHeight="14.4" x14ac:dyDescent="0.3"/>
  <cols>
    <col min="1" max="1" width="2" style="1" bestFit="1" customWidth="1"/>
    <col min="2" max="2" width="15.109375" style="1" customWidth="1"/>
    <col min="3" max="3" width="34.6640625" style="1" customWidth="1"/>
    <col min="4" max="4" width="18.33203125" style="1" customWidth="1"/>
    <col min="5" max="5" width="28.44140625" style="1" customWidth="1"/>
    <col min="6" max="6" width="28.88671875" style="1" customWidth="1"/>
    <col min="7" max="7" width="17.6640625" style="1" customWidth="1"/>
    <col min="8" max="8" width="3.44140625" style="1" customWidth="1"/>
    <col min="9" max="9" width="3.109375" style="3" customWidth="1"/>
    <col min="10" max="10" width="3.109375" style="4" customWidth="1"/>
    <col min="11" max="11" width="20.44140625" style="1" customWidth="1"/>
    <col min="12" max="13" width="13.6640625" style="1" customWidth="1"/>
    <col min="14" max="14" width="17.33203125" style="1" customWidth="1"/>
    <col min="15" max="15" width="16.33203125" style="1" customWidth="1"/>
    <col min="16" max="16" width="11.44140625" style="1"/>
    <col min="17" max="17" width="17.88671875" style="1" customWidth="1"/>
    <col min="18" max="18" width="11.44140625" style="1"/>
    <col min="19" max="19" width="18.109375" style="1" customWidth="1"/>
    <col min="20" max="16384" width="11.44140625" style="1"/>
  </cols>
  <sheetData>
    <row r="2" spans="2:19" s="2" customFormat="1" x14ac:dyDescent="0.3">
      <c r="B2" s="2" t="s">
        <v>0</v>
      </c>
    </row>
    <row r="4" spans="2:19" ht="15" thickBot="1" x14ac:dyDescent="0.35">
      <c r="B4" s="331" t="s">
        <v>1</v>
      </c>
      <c r="C4" s="331"/>
      <c r="D4" s="331"/>
      <c r="E4" s="331"/>
      <c r="F4" s="331"/>
      <c r="G4" s="331"/>
      <c r="K4" s="332" t="s">
        <v>2</v>
      </c>
      <c r="L4" s="332"/>
      <c r="M4" s="332"/>
      <c r="N4" s="332"/>
      <c r="O4" s="332"/>
      <c r="P4" s="332"/>
      <c r="Q4" s="332"/>
      <c r="R4" s="332"/>
      <c r="S4" s="332"/>
    </row>
    <row r="5" spans="2:19" x14ac:dyDescent="0.3">
      <c r="B5" s="5" t="s">
        <v>3</v>
      </c>
      <c r="D5" s="5" t="s">
        <v>4</v>
      </c>
      <c r="K5" s="333" t="s">
        <v>5</v>
      </c>
      <c r="L5" s="335" t="s">
        <v>6</v>
      </c>
      <c r="M5" s="336"/>
      <c r="N5" s="336"/>
      <c r="O5" s="337"/>
      <c r="P5" s="338" t="s">
        <v>7</v>
      </c>
      <c r="Q5" s="339"/>
      <c r="R5" s="339"/>
      <c r="S5" s="340"/>
    </row>
    <row r="6" spans="2:19" ht="29.4" thickBot="1" x14ac:dyDescent="0.35">
      <c r="B6" s="6" t="s">
        <v>8</v>
      </c>
      <c r="D6" s="6" t="s">
        <v>9</v>
      </c>
      <c r="K6" s="334"/>
      <c r="L6" s="140" t="s">
        <v>10</v>
      </c>
      <c r="M6" s="8" t="s">
        <v>11</v>
      </c>
      <c r="N6" s="7" t="s">
        <v>12</v>
      </c>
      <c r="O6" s="141" t="s">
        <v>13</v>
      </c>
      <c r="P6" s="9" t="s">
        <v>10</v>
      </c>
      <c r="Q6" s="10" t="s">
        <v>11</v>
      </c>
      <c r="R6" s="11" t="s">
        <v>12</v>
      </c>
      <c r="S6" s="12" t="s">
        <v>13</v>
      </c>
    </row>
    <row r="7" spans="2:19" x14ac:dyDescent="0.3">
      <c r="B7" s="6" t="s">
        <v>14</v>
      </c>
      <c r="D7" s="1" t="s">
        <v>15</v>
      </c>
      <c r="K7" s="13" t="s">
        <v>16</v>
      </c>
      <c r="L7" s="14"/>
      <c r="M7" s="15"/>
      <c r="N7" s="15"/>
      <c r="O7" s="116"/>
      <c r="P7" s="16"/>
      <c r="Q7" s="17"/>
      <c r="R7" s="17"/>
      <c r="S7" s="18"/>
    </row>
    <row r="8" spans="2:19" x14ac:dyDescent="0.3">
      <c r="B8" s="6" t="s">
        <v>17</v>
      </c>
      <c r="D8" s="1" t="s">
        <v>18</v>
      </c>
      <c r="K8" s="19" t="s">
        <v>19</v>
      </c>
      <c r="L8" s="20"/>
      <c r="M8" s="21"/>
      <c r="N8" s="21"/>
      <c r="O8" s="22"/>
      <c r="P8" s="20"/>
      <c r="Q8" s="21"/>
      <c r="R8" s="21"/>
      <c r="S8" s="22"/>
    </row>
    <row r="9" spans="2:19" x14ac:dyDescent="0.3">
      <c r="B9" s="23" t="s">
        <v>20</v>
      </c>
      <c r="C9" s="24"/>
      <c r="K9" s="19" t="s">
        <v>21</v>
      </c>
      <c r="L9" s="20"/>
      <c r="M9" s="21"/>
      <c r="N9" s="21"/>
      <c r="O9" s="22"/>
      <c r="P9" s="20"/>
      <c r="Q9" s="21"/>
      <c r="R9" s="21"/>
      <c r="S9" s="22"/>
    </row>
    <row r="10" spans="2:19" x14ac:dyDescent="0.3">
      <c r="B10" s="23" t="s">
        <v>22</v>
      </c>
      <c r="C10" s="24"/>
      <c r="K10" s="19" t="s">
        <v>23</v>
      </c>
      <c r="L10" s="20"/>
      <c r="M10" s="21"/>
      <c r="N10" s="21"/>
      <c r="O10" s="22"/>
      <c r="P10" s="20"/>
      <c r="Q10" s="21"/>
      <c r="R10" s="21"/>
      <c r="S10" s="22"/>
    </row>
    <row r="11" spans="2:19" ht="15" customHeight="1" x14ac:dyDescent="0.3">
      <c r="B11" s="23" t="s">
        <v>24</v>
      </c>
      <c r="K11" s="19" t="s">
        <v>25</v>
      </c>
      <c r="L11" s="20"/>
      <c r="M11" s="21"/>
      <c r="N11" s="21"/>
      <c r="O11" s="22"/>
      <c r="P11" s="20"/>
      <c r="Q11" s="21"/>
      <c r="R11" s="21"/>
      <c r="S11" s="22"/>
    </row>
    <row r="12" spans="2:19" ht="15" customHeight="1" x14ac:dyDescent="0.3">
      <c r="K12" s="19" t="s">
        <v>32</v>
      </c>
      <c r="L12" s="20"/>
      <c r="M12" s="21"/>
      <c r="N12" s="21"/>
      <c r="O12" s="22"/>
      <c r="P12" s="20"/>
      <c r="Q12" s="21"/>
      <c r="R12" s="21"/>
      <c r="S12" s="22"/>
    </row>
    <row r="13" spans="2:19" ht="15.75" customHeight="1" thickBot="1" x14ac:dyDescent="0.35">
      <c r="B13" s="25" t="s">
        <v>26</v>
      </c>
      <c r="C13" s="25" t="s">
        <v>27</v>
      </c>
      <c r="D13" s="25" t="s">
        <v>28</v>
      </c>
      <c r="E13" s="26" t="s">
        <v>29</v>
      </c>
      <c r="F13" s="27" t="s">
        <v>30</v>
      </c>
      <c r="G13" s="27" t="s">
        <v>31</v>
      </c>
      <c r="K13" s="28" t="s">
        <v>34</v>
      </c>
      <c r="L13" s="29"/>
      <c r="M13" s="30"/>
      <c r="N13" s="30"/>
      <c r="O13" s="31"/>
      <c r="P13" s="29"/>
      <c r="Q13" s="30"/>
      <c r="R13" s="30"/>
      <c r="S13" s="31"/>
    </row>
    <row r="14" spans="2:19" x14ac:dyDescent="0.3">
      <c r="B14" s="328" t="s">
        <v>33</v>
      </c>
      <c r="C14" s="329"/>
      <c r="D14" s="329"/>
      <c r="E14" s="329"/>
      <c r="F14" s="329"/>
      <c r="G14" s="330"/>
    </row>
    <row r="15" spans="2:19" ht="22.8" x14ac:dyDescent="0.3">
      <c r="B15" s="32" t="s">
        <v>35</v>
      </c>
      <c r="C15" s="33" t="s">
        <v>36</v>
      </c>
      <c r="D15" s="33" t="s">
        <v>37</v>
      </c>
      <c r="E15" s="33" t="s">
        <v>38</v>
      </c>
      <c r="F15" s="33" t="s">
        <v>39</v>
      </c>
      <c r="G15" s="33" t="s">
        <v>40</v>
      </c>
    </row>
    <row r="16" spans="2:19" ht="22.8" x14ac:dyDescent="0.3">
      <c r="B16" s="32" t="s">
        <v>41</v>
      </c>
      <c r="C16" s="33" t="s">
        <v>36</v>
      </c>
      <c r="D16" s="33" t="s">
        <v>42</v>
      </c>
      <c r="E16" s="33" t="s">
        <v>43</v>
      </c>
      <c r="F16" s="33" t="s">
        <v>39</v>
      </c>
      <c r="G16" s="33" t="s">
        <v>44</v>
      </c>
    </row>
    <row r="17" spans="2:7" ht="34.200000000000003" x14ac:dyDescent="0.3">
      <c r="B17" s="32" t="s">
        <v>45</v>
      </c>
      <c r="C17" s="33" t="s">
        <v>46</v>
      </c>
      <c r="D17" s="33" t="s">
        <v>47</v>
      </c>
      <c r="E17" s="33" t="s">
        <v>48</v>
      </c>
      <c r="F17" s="33" t="s">
        <v>49</v>
      </c>
      <c r="G17" s="33" t="s">
        <v>50</v>
      </c>
    </row>
  </sheetData>
  <mergeCells count="6">
    <mergeCell ref="B14:G14"/>
    <mergeCell ref="B4:G4"/>
    <mergeCell ref="K4:S4"/>
    <mergeCell ref="K5:K6"/>
    <mergeCell ref="L5:O5"/>
    <mergeCell ref="P5:S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S126"/>
  <sheetViews>
    <sheetView tabSelected="1" topLeftCell="I114" zoomScale="110" zoomScaleNormal="110" workbookViewId="0">
      <selection activeCell="N123" sqref="N123"/>
    </sheetView>
  </sheetViews>
  <sheetFormatPr baseColWidth="10" defaultColWidth="11.44140625" defaultRowHeight="14.4" x14ac:dyDescent="0.3"/>
  <cols>
    <col min="1" max="1" width="1.88671875" style="1" customWidth="1"/>
    <col min="2" max="2" width="33.88671875" style="1" customWidth="1"/>
    <col min="3" max="3" width="20.109375" style="1" customWidth="1"/>
    <col min="4" max="4" width="24.5546875" style="1" customWidth="1"/>
    <col min="5" max="5" width="23.109375" style="1" bestFit="1" customWidth="1"/>
    <col min="6" max="6" width="23.5546875" style="1" customWidth="1"/>
    <col min="7" max="7" width="27.44140625" style="1" customWidth="1"/>
    <col min="8" max="8" width="29.5546875" style="1" bestFit="1" customWidth="1"/>
    <col min="9" max="9" width="28.6640625" style="1" bestFit="1" customWidth="1"/>
    <col min="10" max="10" width="25.33203125" style="1" customWidth="1"/>
    <col min="11" max="11" width="18.33203125" style="1" customWidth="1"/>
    <col min="12" max="12" width="32" style="1" customWidth="1"/>
    <col min="13" max="13" width="29.88671875" style="1" bestFit="1" customWidth="1"/>
    <col min="14" max="14" width="31.6640625" style="1" bestFit="1" customWidth="1"/>
    <col min="15" max="15" width="28.6640625" style="1" bestFit="1" customWidth="1"/>
    <col min="16" max="16" width="13.44140625" style="1" bestFit="1" customWidth="1"/>
    <col min="17" max="17" width="13.33203125" style="1" bestFit="1" customWidth="1"/>
    <col min="18" max="16384" width="11.44140625" style="1"/>
  </cols>
  <sheetData>
    <row r="1" spans="2:14" x14ac:dyDescent="0.3">
      <c r="B1" s="259" t="s">
        <v>274</v>
      </c>
      <c r="C1" s="258"/>
      <c r="D1" s="258"/>
      <c r="E1" s="258"/>
      <c r="F1" s="258"/>
    </row>
    <row r="2" spans="2:14" x14ac:dyDescent="0.3">
      <c r="B2" s="123"/>
      <c r="C2" s="23"/>
      <c r="D2" s="23"/>
      <c r="E2" s="23"/>
      <c r="F2" s="23"/>
    </row>
    <row r="3" spans="2:14" x14ac:dyDescent="0.3">
      <c r="B3" s="42" t="s">
        <v>263</v>
      </c>
      <c r="D3" s="143" t="s">
        <v>153</v>
      </c>
      <c r="E3" s="144" t="s">
        <v>154</v>
      </c>
    </row>
    <row r="4" spans="2:14" ht="32.25" customHeight="1" x14ac:dyDescent="0.3">
      <c r="B4" s="75" t="s">
        <v>104</v>
      </c>
      <c r="C4" s="75" t="s">
        <v>201</v>
      </c>
      <c r="D4" s="73" t="s">
        <v>11</v>
      </c>
      <c r="E4" s="73" t="s">
        <v>11</v>
      </c>
      <c r="F4" s="73" t="s">
        <v>95</v>
      </c>
      <c r="G4" s="73" t="s">
        <v>70</v>
      </c>
      <c r="H4" s="73" t="s">
        <v>296</v>
      </c>
      <c r="I4" s="73" t="s">
        <v>302</v>
      </c>
      <c r="J4" s="73" t="s">
        <v>96</v>
      </c>
      <c r="K4" s="73" t="s">
        <v>97</v>
      </c>
      <c r="L4" s="73" t="s">
        <v>51</v>
      </c>
      <c r="M4" s="73" t="s">
        <v>105</v>
      </c>
      <c r="N4" s="73" t="s">
        <v>275</v>
      </c>
    </row>
    <row r="5" spans="2:14" ht="45.6" x14ac:dyDescent="0.3">
      <c r="B5" s="74" t="s">
        <v>110</v>
      </c>
      <c r="C5" s="74" t="s">
        <v>202</v>
      </c>
      <c r="D5" s="74" t="s">
        <v>170</v>
      </c>
      <c r="E5" s="74" t="s">
        <v>98</v>
      </c>
      <c r="F5" s="74" t="s">
        <v>99</v>
      </c>
      <c r="G5" s="74" t="s">
        <v>100</v>
      </c>
      <c r="H5" s="74" t="s">
        <v>310</v>
      </c>
      <c r="I5" s="74" t="s">
        <v>303</v>
      </c>
      <c r="J5" s="74" t="s">
        <v>101</v>
      </c>
      <c r="K5" s="74" t="s">
        <v>102</v>
      </c>
      <c r="L5" s="74" t="s">
        <v>106</v>
      </c>
      <c r="M5" s="74" t="s">
        <v>107</v>
      </c>
      <c r="N5" s="74" t="s">
        <v>291</v>
      </c>
    </row>
    <row r="6" spans="2:14" x14ac:dyDescent="0.3">
      <c r="B6" s="142">
        <v>120</v>
      </c>
      <c r="C6" s="142" t="s">
        <v>78</v>
      </c>
      <c r="D6" s="142" t="s">
        <v>85</v>
      </c>
      <c r="E6" s="142" t="s">
        <v>79</v>
      </c>
      <c r="F6" s="194">
        <v>25000</v>
      </c>
      <c r="G6" s="142">
        <v>2010</v>
      </c>
      <c r="H6" s="142" t="s">
        <v>297</v>
      </c>
      <c r="I6" s="142">
        <f>12-3</f>
        <v>9</v>
      </c>
      <c r="J6" s="195">
        <v>43889</v>
      </c>
      <c r="K6" s="142" t="s">
        <v>276</v>
      </c>
      <c r="L6" s="142" t="s">
        <v>47</v>
      </c>
      <c r="M6" s="142" t="s">
        <v>277</v>
      </c>
      <c r="N6" s="314">
        <f>(Variables!G15-Variables!G12)/(1-Factores!$C$4)*1/1000*Factores!$Q$4*F6*I6/12</f>
        <v>1992.8421746651782</v>
      </c>
    </row>
    <row r="7" spans="2:14" x14ac:dyDescent="0.3">
      <c r="B7" s="142">
        <v>120</v>
      </c>
      <c r="C7" s="142" t="s">
        <v>78</v>
      </c>
      <c r="D7" s="142" t="s">
        <v>89</v>
      </c>
      <c r="E7" s="142" t="s">
        <v>79</v>
      </c>
      <c r="F7" s="194">
        <v>25000</v>
      </c>
      <c r="G7" s="142">
        <v>2010</v>
      </c>
      <c r="H7" s="142" t="s">
        <v>298</v>
      </c>
      <c r="I7" s="142">
        <f>12-9</f>
        <v>3</v>
      </c>
      <c r="J7" s="195">
        <v>43889</v>
      </c>
      <c r="K7" s="142" t="s">
        <v>276</v>
      </c>
      <c r="L7" s="142" t="s">
        <v>47</v>
      </c>
      <c r="M7" s="142" t="s">
        <v>277</v>
      </c>
      <c r="N7" s="314">
        <f>(Variables!G17-Variables!G12)/(1-Factores!$C$4)*1/1000*Factores!$Q$4*F7*I7/12</f>
        <v>1153.750732700893</v>
      </c>
    </row>
    <row r="8" spans="2:14" x14ac:dyDescent="0.3">
      <c r="B8" s="142">
        <v>225</v>
      </c>
      <c r="C8" s="142" t="s">
        <v>78</v>
      </c>
      <c r="D8" s="142" t="s">
        <v>87</v>
      </c>
      <c r="E8" s="142" t="s">
        <v>79</v>
      </c>
      <c r="F8" s="194">
        <v>25000</v>
      </c>
      <c r="G8" s="142">
        <v>2011</v>
      </c>
      <c r="H8" s="142" t="s">
        <v>299</v>
      </c>
      <c r="I8" s="142">
        <f>12-2</f>
        <v>10</v>
      </c>
      <c r="J8" s="195">
        <v>43889</v>
      </c>
      <c r="K8" s="142" t="s">
        <v>276</v>
      </c>
      <c r="L8" s="142" t="s">
        <v>47</v>
      </c>
      <c r="M8" s="142" t="s">
        <v>277</v>
      </c>
      <c r="N8" s="314">
        <f>(Variables!G23-Variables!G19)/(1-Factores!$C$5)*1/1000*Factores!$Q$5*F8*I8/12</f>
        <v>3349.1361412789624</v>
      </c>
    </row>
    <row r="9" spans="2:14" x14ac:dyDescent="0.3">
      <c r="B9" s="142">
        <v>375</v>
      </c>
      <c r="C9" s="142" t="s">
        <v>78</v>
      </c>
      <c r="D9" s="142" t="s">
        <v>83</v>
      </c>
      <c r="E9" s="142" t="s">
        <v>79</v>
      </c>
      <c r="F9" s="194">
        <v>25000</v>
      </c>
      <c r="G9" s="142">
        <v>2011</v>
      </c>
      <c r="H9" s="142" t="s">
        <v>300</v>
      </c>
      <c r="I9" s="142">
        <f>12-7</f>
        <v>5</v>
      </c>
      <c r="J9" s="195">
        <v>43889</v>
      </c>
      <c r="K9" s="142" t="s">
        <v>276</v>
      </c>
      <c r="L9" s="142" t="s">
        <v>47</v>
      </c>
      <c r="M9" s="142" t="s">
        <v>277</v>
      </c>
      <c r="N9" s="314">
        <f>(Variables!G28-Variables!G26)/(1-Factores!$C$5)*1/1000*Factores!$Q$5*F9*I9/12</f>
        <v>912.98066633968574</v>
      </c>
    </row>
    <row r="10" spans="2:14" x14ac:dyDescent="0.3">
      <c r="B10" s="142">
        <v>480</v>
      </c>
      <c r="C10" s="142" t="s">
        <v>78</v>
      </c>
      <c r="D10" s="142" t="s">
        <v>85</v>
      </c>
      <c r="E10" s="142" t="s">
        <v>79</v>
      </c>
      <c r="F10" s="194">
        <v>25000</v>
      </c>
      <c r="G10" s="142">
        <v>2012</v>
      </c>
      <c r="H10" s="142" t="s">
        <v>301</v>
      </c>
      <c r="I10" s="142">
        <f>12-1</f>
        <v>11</v>
      </c>
      <c r="J10" s="195">
        <v>43889</v>
      </c>
      <c r="K10" s="142" t="s">
        <v>276</v>
      </c>
      <c r="L10" s="142" t="s">
        <v>47</v>
      </c>
      <c r="M10" s="142" t="s">
        <v>277</v>
      </c>
      <c r="N10" s="314">
        <f>(Variables!G36-Variables!G33)/(1-Factores!$C$6)*1/1000*Factores!$Q$6*F10*I10/12</f>
        <v>3493.9463599794235</v>
      </c>
    </row>
    <row r="11" spans="2:14" x14ac:dyDescent="0.3">
      <c r="B11" s="142">
        <v>225</v>
      </c>
      <c r="C11" s="142" t="s">
        <v>191</v>
      </c>
      <c r="D11" s="142" t="s">
        <v>85</v>
      </c>
      <c r="E11" s="142" t="s">
        <v>79</v>
      </c>
      <c r="F11" s="194">
        <v>25000</v>
      </c>
      <c r="G11" s="142">
        <v>2013</v>
      </c>
      <c r="H11" s="142" t="s">
        <v>300</v>
      </c>
      <c r="I11" s="142">
        <f>12-7</f>
        <v>5</v>
      </c>
      <c r="J11" s="195">
        <v>43889</v>
      </c>
      <c r="K11" s="142" t="s">
        <v>276</v>
      </c>
      <c r="L11" s="142" t="s">
        <v>47</v>
      </c>
      <c r="M11" s="142" t="s">
        <v>277</v>
      </c>
      <c r="N11" s="314">
        <f>(Variables!Y22-Variables!Y19)/(1-Factores!$C$7)*1/1000*Factores!$Q$7*F11*I11/12</f>
        <v>1963.7889507166576</v>
      </c>
    </row>
    <row r="12" spans="2:14" x14ac:dyDescent="0.3">
      <c r="B12" s="142"/>
      <c r="C12" s="142"/>
      <c r="D12" s="142"/>
      <c r="E12" s="142"/>
      <c r="F12" s="194"/>
      <c r="G12" s="142"/>
      <c r="H12" s="142"/>
      <c r="I12" s="142"/>
      <c r="J12" s="195"/>
      <c r="K12" s="142"/>
      <c r="L12" s="142"/>
      <c r="M12" s="142"/>
      <c r="N12" s="151"/>
    </row>
    <row r="14" spans="2:14" x14ac:dyDescent="0.3">
      <c r="B14" s="42" t="s">
        <v>264</v>
      </c>
      <c r="D14" s="187" t="s">
        <v>153</v>
      </c>
      <c r="E14" s="188" t="s">
        <v>154</v>
      </c>
    </row>
    <row r="15" spans="2:14" ht="30" x14ac:dyDescent="0.3">
      <c r="B15" s="75" t="s">
        <v>104</v>
      </c>
      <c r="C15" s="75" t="s">
        <v>201</v>
      </c>
      <c r="D15" s="73" t="s">
        <v>11</v>
      </c>
      <c r="E15" s="73" t="s">
        <v>11</v>
      </c>
      <c r="F15" s="73" t="s">
        <v>95</v>
      </c>
      <c r="G15" s="73" t="s">
        <v>70</v>
      </c>
      <c r="H15" s="73" t="s">
        <v>296</v>
      </c>
      <c r="I15" s="73" t="s">
        <v>302</v>
      </c>
      <c r="J15" s="73" t="s">
        <v>96</v>
      </c>
      <c r="K15" s="73" t="s">
        <v>97</v>
      </c>
      <c r="L15" s="73" t="s">
        <v>51</v>
      </c>
      <c r="M15" s="73" t="s">
        <v>105</v>
      </c>
      <c r="N15" s="73" t="s">
        <v>275</v>
      </c>
    </row>
    <row r="16" spans="2:14" ht="45.6" x14ac:dyDescent="0.3">
      <c r="B16" s="74" t="s">
        <v>110</v>
      </c>
      <c r="C16" s="74" t="s">
        <v>202</v>
      </c>
      <c r="D16" s="74" t="s">
        <v>170</v>
      </c>
      <c r="E16" s="74" t="s">
        <v>98</v>
      </c>
      <c r="F16" s="74" t="s">
        <v>99</v>
      </c>
      <c r="G16" s="74" t="s">
        <v>100</v>
      </c>
      <c r="H16" s="74" t="s">
        <v>311</v>
      </c>
      <c r="I16" s="74" t="s">
        <v>303</v>
      </c>
      <c r="J16" s="74" t="s">
        <v>101</v>
      </c>
      <c r="K16" s="74" t="s">
        <v>102</v>
      </c>
      <c r="L16" s="74" t="s">
        <v>106</v>
      </c>
      <c r="M16" s="74" t="s">
        <v>107</v>
      </c>
      <c r="N16" s="74" t="s">
        <v>291</v>
      </c>
    </row>
    <row r="17" spans="2:15" hidden="1" x14ac:dyDescent="0.3">
      <c r="B17" s="142" t="s">
        <v>262</v>
      </c>
      <c r="C17" s="142" t="s">
        <v>151</v>
      </c>
      <c r="D17" s="142" t="s">
        <v>87</v>
      </c>
      <c r="E17" s="142" t="s">
        <v>79</v>
      </c>
      <c r="F17" s="194">
        <v>26914</v>
      </c>
      <c r="G17" s="142">
        <v>2018</v>
      </c>
      <c r="H17" s="142" t="s">
        <v>305</v>
      </c>
      <c r="I17" s="142">
        <f>12-4</f>
        <v>8</v>
      </c>
      <c r="J17" s="195">
        <v>43524</v>
      </c>
      <c r="K17" s="142" t="s">
        <v>103</v>
      </c>
      <c r="L17" s="142" t="s">
        <v>108</v>
      </c>
      <c r="M17" s="142" t="s">
        <v>109</v>
      </c>
      <c r="N17" s="284">
        <f>(Variables!G78-Variables!G74)/(1-Factores!C12)*1/1000*Factores!Q12*F17*I17/12</f>
        <v>9406.8998952936781</v>
      </c>
    </row>
    <row r="18" spans="2:15" x14ac:dyDescent="0.3">
      <c r="B18" s="142"/>
      <c r="C18" s="142"/>
      <c r="D18" s="142"/>
      <c r="E18" s="142"/>
      <c r="F18" s="194"/>
      <c r="G18" s="142"/>
      <c r="H18" s="142"/>
      <c r="I18" s="142"/>
      <c r="J18" s="195"/>
      <c r="K18" s="142"/>
      <c r="L18" s="142"/>
      <c r="M18" s="142"/>
      <c r="N18" s="284"/>
    </row>
    <row r="19" spans="2:15" x14ac:dyDescent="0.3">
      <c r="B19" s="142">
        <v>375</v>
      </c>
      <c r="C19" s="142" t="s">
        <v>151</v>
      </c>
      <c r="D19" s="142" t="s">
        <v>87</v>
      </c>
      <c r="E19" s="142" t="s">
        <v>79</v>
      </c>
      <c r="F19" s="194">
        <v>10000</v>
      </c>
      <c r="G19" s="142">
        <v>2015</v>
      </c>
      <c r="H19" s="142" t="s">
        <v>299</v>
      </c>
      <c r="I19" s="142">
        <v>10</v>
      </c>
      <c r="J19" s="195">
        <v>43978</v>
      </c>
      <c r="K19" s="142"/>
      <c r="L19" s="142"/>
      <c r="M19" s="142"/>
      <c r="N19" s="284">
        <f>(Variables!G64-Variables!G60)/(1-Factores!C9)*1/1000*Factores!Q9*F19*I19/12</f>
        <v>3823.4025708333324</v>
      </c>
    </row>
    <row r="20" spans="2:15" x14ac:dyDescent="0.3">
      <c r="B20" s="142">
        <v>375</v>
      </c>
      <c r="C20" s="142" t="s">
        <v>152</v>
      </c>
      <c r="D20" s="142" t="s">
        <v>85</v>
      </c>
      <c r="E20" s="142" t="s">
        <v>79</v>
      </c>
      <c r="F20" s="194">
        <v>10000</v>
      </c>
      <c r="G20" s="142">
        <v>2015</v>
      </c>
      <c r="H20" s="142" t="s">
        <v>306</v>
      </c>
      <c r="I20" s="142">
        <v>6</v>
      </c>
      <c r="J20" s="195">
        <v>43978</v>
      </c>
      <c r="K20" s="142"/>
      <c r="L20" s="142"/>
      <c r="M20" s="142"/>
      <c r="N20" s="284">
        <f>(Variables!K63-Variables!K60)/(1-Factores!C9)*1/1000*Factores!Q9*F20*I20/12</f>
        <v>1415.0165074971812</v>
      </c>
    </row>
    <row r="21" spans="2:15" x14ac:dyDescent="0.3">
      <c r="B21" s="142">
        <v>375</v>
      </c>
      <c r="C21" s="142" t="s">
        <v>199</v>
      </c>
      <c r="D21" s="142" t="s">
        <v>85</v>
      </c>
      <c r="E21" s="142" t="s">
        <v>79</v>
      </c>
      <c r="F21" s="194">
        <v>10000</v>
      </c>
      <c r="G21" s="142">
        <v>2015</v>
      </c>
      <c r="H21" s="142" t="s">
        <v>307</v>
      </c>
      <c r="I21" s="142">
        <v>7</v>
      </c>
      <c r="J21" s="195">
        <v>43978</v>
      </c>
      <c r="K21" s="142"/>
      <c r="L21" s="142"/>
      <c r="M21" s="142"/>
      <c r="N21" s="284">
        <f>(Variables!P63-Variables!P60)/(1-Factores!C9)*1/1000*Factores!Q9*F21*I21/12</f>
        <v>1650.8525920800448</v>
      </c>
    </row>
    <row r="22" spans="2:15" x14ac:dyDescent="0.3">
      <c r="B22" s="142">
        <v>575</v>
      </c>
      <c r="C22" s="142" t="s">
        <v>151</v>
      </c>
      <c r="D22" s="142" t="s">
        <v>87</v>
      </c>
      <c r="E22" s="142" t="s">
        <v>79</v>
      </c>
      <c r="F22" s="194">
        <v>10000</v>
      </c>
      <c r="G22" s="142">
        <v>2016</v>
      </c>
      <c r="H22" s="142" t="s">
        <v>297</v>
      </c>
      <c r="I22" s="142">
        <v>9</v>
      </c>
      <c r="J22" s="195">
        <v>43978</v>
      </c>
      <c r="K22" s="142"/>
      <c r="L22" s="142"/>
      <c r="M22" s="142"/>
      <c r="N22" s="284">
        <f>(Variables!G71-Variables!G67)/(1-Factores!C10)*1/1000*Factores!Q10*F22*I22/12</f>
        <v>3007.9992890328285</v>
      </c>
    </row>
    <row r="23" spans="2:15" x14ac:dyDescent="0.3">
      <c r="B23" s="142">
        <v>375</v>
      </c>
      <c r="C23" s="142" t="s">
        <v>152</v>
      </c>
      <c r="D23" s="142" t="s">
        <v>87</v>
      </c>
      <c r="E23" s="142" t="s">
        <v>79</v>
      </c>
      <c r="F23" s="194">
        <v>10000</v>
      </c>
      <c r="G23" s="142">
        <v>2016</v>
      </c>
      <c r="H23" s="142" t="s">
        <v>306</v>
      </c>
      <c r="I23" s="142">
        <v>6</v>
      </c>
      <c r="J23" s="195">
        <v>43978</v>
      </c>
      <c r="K23" s="142"/>
      <c r="L23" s="142"/>
      <c r="M23" s="142"/>
      <c r="N23" s="284">
        <f>(Variables!K64-Variables!K60)/(1-Factores!C10)*1/1000*Factores!Q10*F23*I23/12</f>
        <v>1200.0859055555554</v>
      </c>
    </row>
    <row r="24" spans="2:15" x14ac:dyDescent="0.3">
      <c r="B24" s="142">
        <v>375</v>
      </c>
      <c r="C24" s="142" t="s">
        <v>199</v>
      </c>
      <c r="D24" s="142" t="s">
        <v>83</v>
      </c>
      <c r="E24" s="142" t="s">
        <v>79</v>
      </c>
      <c r="F24" s="194">
        <v>10000</v>
      </c>
      <c r="G24" s="142">
        <v>2016</v>
      </c>
      <c r="H24" s="142" t="s">
        <v>306</v>
      </c>
      <c r="I24" s="142">
        <v>6</v>
      </c>
      <c r="J24" s="195">
        <v>43978</v>
      </c>
      <c r="K24" s="142"/>
      <c r="L24" s="142"/>
      <c r="M24" s="142"/>
      <c r="N24" s="284">
        <f>(Variables!P62-Variables!P60)/(1-Factores!C10)*1/1000*Factores!Q10*F24*I24/12</f>
        <v>604.6234333333332</v>
      </c>
    </row>
    <row r="25" spans="2:15" x14ac:dyDescent="0.3">
      <c r="B25" s="315">
        <v>575</v>
      </c>
      <c r="C25" s="315" t="s">
        <v>151</v>
      </c>
      <c r="D25" s="315" t="s">
        <v>85</v>
      </c>
      <c r="E25" s="315" t="s">
        <v>79</v>
      </c>
      <c r="F25" s="316">
        <v>20000</v>
      </c>
      <c r="G25" s="315">
        <v>2017</v>
      </c>
      <c r="H25" s="315" t="s">
        <v>305</v>
      </c>
      <c r="I25" s="315">
        <v>8</v>
      </c>
      <c r="J25" s="317">
        <v>43978</v>
      </c>
      <c r="K25" s="318"/>
      <c r="L25" s="318"/>
      <c r="M25" s="318"/>
      <c r="N25" s="318"/>
    </row>
    <row r="26" spans="2:15" x14ac:dyDescent="0.3">
      <c r="B26" s="315">
        <v>575</v>
      </c>
      <c r="C26" s="315" t="s">
        <v>152</v>
      </c>
      <c r="D26" s="315" t="s">
        <v>89</v>
      </c>
      <c r="E26" s="315" t="s">
        <v>79</v>
      </c>
      <c r="F26" s="316">
        <v>20000</v>
      </c>
      <c r="G26" s="315">
        <v>2017</v>
      </c>
      <c r="H26" s="315" t="s">
        <v>297</v>
      </c>
      <c r="I26" s="315">
        <v>9</v>
      </c>
      <c r="J26" s="317">
        <v>43978</v>
      </c>
      <c r="K26" s="318"/>
      <c r="L26" s="318"/>
      <c r="M26" s="318"/>
      <c r="N26" s="318"/>
    </row>
    <row r="27" spans="2:15" x14ac:dyDescent="0.3">
      <c r="C27" s="152"/>
    </row>
    <row r="28" spans="2:15" x14ac:dyDescent="0.3">
      <c r="B28" s="268" t="s">
        <v>280</v>
      </c>
      <c r="C28" s="342" t="s">
        <v>153</v>
      </c>
      <c r="D28" s="342"/>
      <c r="E28" s="343" t="s">
        <v>154</v>
      </c>
      <c r="F28" s="343"/>
    </row>
    <row r="29" spans="2:15" ht="30" x14ac:dyDescent="0.3">
      <c r="B29" s="75" t="s">
        <v>104</v>
      </c>
      <c r="C29" s="73" t="s">
        <v>11</v>
      </c>
      <c r="D29" s="73" t="s">
        <v>205</v>
      </c>
      <c r="E29" s="73" t="s">
        <v>11</v>
      </c>
      <c r="F29" s="73" t="s">
        <v>205</v>
      </c>
      <c r="G29" s="73" t="s">
        <v>95</v>
      </c>
      <c r="H29" s="73" t="s">
        <v>70</v>
      </c>
      <c r="I29" s="73" t="s">
        <v>296</v>
      </c>
      <c r="J29" s="73" t="s">
        <v>302</v>
      </c>
      <c r="K29" s="73" t="s">
        <v>96</v>
      </c>
      <c r="L29" s="73" t="s">
        <v>97</v>
      </c>
      <c r="M29" s="73" t="s">
        <v>51</v>
      </c>
      <c r="N29" s="73" t="s">
        <v>105</v>
      </c>
      <c r="O29" s="73" t="s">
        <v>275</v>
      </c>
    </row>
    <row r="30" spans="2:15" ht="34.200000000000003" x14ac:dyDescent="0.3">
      <c r="B30" s="74" t="s">
        <v>185</v>
      </c>
      <c r="C30" s="74" t="s">
        <v>170</v>
      </c>
      <c r="D30" s="74" t="s">
        <v>206</v>
      </c>
      <c r="E30" s="74" t="s">
        <v>98</v>
      </c>
      <c r="F30" s="74" t="s">
        <v>206</v>
      </c>
      <c r="G30" s="74" t="s">
        <v>99</v>
      </c>
      <c r="H30" s="74" t="s">
        <v>100</v>
      </c>
      <c r="I30" s="74" t="s">
        <v>312</v>
      </c>
      <c r="J30" s="74" t="s">
        <v>303</v>
      </c>
      <c r="K30" s="74" t="s">
        <v>101</v>
      </c>
      <c r="L30" s="74" t="s">
        <v>102</v>
      </c>
      <c r="M30" s="74" t="s">
        <v>106</v>
      </c>
      <c r="N30" s="74" t="s">
        <v>107</v>
      </c>
      <c r="O30" s="74" t="s">
        <v>291</v>
      </c>
    </row>
    <row r="31" spans="2:15" x14ac:dyDescent="0.3">
      <c r="B31" s="142">
        <v>50</v>
      </c>
      <c r="C31" s="142" t="s">
        <v>87</v>
      </c>
      <c r="D31" s="142" t="s">
        <v>207</v>
      </c>
      <c r="E31" s="142" t="s">
        <v>79</v>
      </c>
      <c r="F31" s="142" t="s">
        <v>207</v>
      </c>
      <c r="G31" s="194">
        <v>7000</v>
      </c>
      <c r="H31" s="142">
        <v>2014</v>
      </c>
      <c r="I31" s="142" t="s">
        <v>306</v>
      </c>
      <c r="J31" s="142">
        <f>12-6</f>
        <v>6</v>
      </c>
      <c r="K31" s="195">
        <v>43978</v>
      </c>
      <c r="L31" s="142" t="s">
        <v>103</v>
      </c>
      <c r="M31" s="142" t="s">
        <v>108</v>
      </c>
      <c r="N31" s="142" t="s">
        <v>109</v>
      </c>
      <c r="O31" s="284">
        <f>(Variables!F98-Variables!F94)/(1-Factores!$C$8)*1/1000*Factores!$Q$8*G31*J31/12</f>
        <v>604.86734461110893</v>
      </c>
    </row>
    <row r="32" spans="2:15" x14ac:dyDescent="0.3">
      <c r="B32" s="142">
        <v>150</v>
      </c>
      <c r="C32" s="142" t="s">
        <v>85</v>
      </c>
      <c r="D32" s="142" t="s">
        <v>207</v>
      </c>
      <c r="E32" s="142" t="s">
        <v>79</v>
      </c>
      <c r="F32" s="142" t="s">
        <v>207</v>
      </c>
      <c r="G32" s="194">
        <v>2000</v>
      </c>
      <c r="H32" s="142">
        <v>2014</v>
      </c>
      <c r="I32" s="142" t="s">
        <v>307</v>
      </c>
      <c r="J32" s="142">
        <f>12-5</f>
        <v>7</v>
      </c>
      <c r="K32" s="195">
        <v>43978</v>
      </c>
      <c r="L32" s="142" t="s">
        <v>103</v>
      </c>
      <c r="M32" s="142" t="s">
        <v>108</v>
      </c>
      <c r="N32" s="142" t="s">
        <v>109</v>
      </c>
      <c r="O32" s="284">
        <f>(Variables!F104-Variables!F101)/(1-Factores!$C$8)*1/1000*Factores!$Q$8*G32*J32/12</f>
        <v>847.15314371303703</v>
      </c>
    </row>
    <row r="33" spans="2:15" x14ac:dyDescent="0.3">
      <c r="B33" s="142">
        <v>15</v>
      </c>
      <c r="C33" s="142" t="s">
        <v>87</v>
      </c>
      <c r="D33" s="142" t="s">
        <v>207</v>
      </c>
      <c r="E33" s="142" t="s">
        <v>81</v>
      </c>
      <c r="F33" s="142" t="s">
        <v>207</v>
      </c>
      <c r="G33" s="194">
        <v>45000</v>
      </c>
      <c r="H33" s="142">
        <v>2015</v>
      </c>
      <c r="I33" s="142" t="s">
        <v>305</v>
      </c>
      <c r="J33" s="142">
        <v>8</v>
      </c>
      <c r="K33" s="195">
        <v>43978</v>
      </c>
      <c r="L33" s="142" t="s">
        <v>103</v>
      </c>
      <c r="M33" s="142" t="s">
        <v>108</v>
      </c>
      <c r="N33" s="142" t="s">
        <v>109</v>
      </c>
      <c r="O33" s="284">
        <f>(Variables!F91-Variables!F88)/(1-Factores!$C$9)*1/1000*Factores!$Q$9*G33*J33/12</f>
        <v>932.10943411012875</v>
      </c>
    </row>
    <row r="34" spans="2:15" x14ac:dyDescent="0.3">
      <c r="B34" s="142">
        <v>50</v>
      </c>
      <c r="C34" s="142" t="s">
        <v>85</v>
      </c>
      <c r="D34" s="142" t="s">
        <v>207</v>
      </c>
      <c r="E34" s="142" t="s">
        <v>81</v>
      </c>
      <c r="F34" s="142" t="s">
        <v>207</v>
      </c>
      <c r="G34" s="194">
        <v>4000</v>
      </c>
      <c r="H34" s="142">
        <v>2015</v>
      </c>
      <c r="I34" s="142" t="s">
        <v>299</v>
      </c>
      <c r="J34" s="142">
        <v>10</v>
      </c>
      <c r="K34" s="195">
        <v>43978</v>
      </c>
      <c r="L34" s="142" t="s">
        <v>103</v>
      </c>
      <c r="M34" s="142" t="s">
        <v>108</v>
      </c>
      <c r="N34" s="142" t="s">
        <v>109</v>
      </c>
      <c r="O34" s="284">
        <f>(Variables!F97-Variables!F95)/(1-Factores!$C$9)*1/1000*Factores!$Q$9*G34*J34/12</f>
        <v>305.2704332023261</v>
      </c>
    </row>
    <row r="35" spans="2:15" x14ac:dyDescent="0.3">
      <c r="B35" s="142">
        <v>50</v>
      </c>
      <c r="C35" s="142" t="s">
        <v>87</v>
      </c>
      <c r="D35" s="142" t="s">
        <v>207</v>
      </c>
      <c r="E35" s="142" t="s">
        <v>79</v>
      </c>
      <c r="F35" s="142" t="s">
        <v>207</v>
      </c>
      <c r="G35" s="194">
        <v>7000</v>
      </c>
      <c r="H35" s="142">
        <v>2016</v>
      </c>
      <c r="I35" s="142" t="s">
        <v>306</v>
      </c>
      <c r="J35" s="142">
        <v>6</v>
      </c>
      <c r="K35" s="195">
        <v>43978</v>
      </c>
      <c r="L35" s="142" t="s">
        <v>103</v>
      </c>
      <c r="M35" s="142" t="s">
        <v>108</v>
      </c>
      <c r="N35" s="142" t="s">
        <v>109</v>
      </c>
      <c r="O35" s="284">
        <f>(Variables!F98-Variables!F94)/(1-Factores!$C$10)*1/1000*Factores!$Q$10*G35*J35/12</f>
        <v>396.40505744753415</v>
      </c>
    </row>
    <row r="36" spans="2:15" x14ac:dyDescent="0.3">
      <c r="B36" s="142">
        <v>150</v>
      </c>
      <c r="C36" s="142" t="s">
        <v>85</v>
      </c>
      <c r="D36" s="142" t="s">
        <v>207</v>
      </c>
      <c r="E36" s="142" t="s">
        <v>79</v>
      </c>
      <c r="F36" s="142" t="s">
        <v>207</v>
      </c>
      <c r="G36" s="194">
        <v>2000</v>
      </c>
      <c r="H36" s="142">
        <v>2016</v>
      </c>
      <c r="I36" s="142" t="s">
        <v>307</v>
      </c>
      <c r="J36" s="142">
        <v>7</v>
      </c>
      <c r="K36" s="195">
        <v>43978</v>
      </c>
      <c r="L36" s="142" t="s">
        <v>103</v>
      </c>
      <c r="M36" s="142" t="s">
        <v>108</v>
      </c>
      <c r="N36" s="142" t="s">
        <v>109</v>
      </c>
      <c r="O36" s="284">
        <f>(Variables!F104-Variables!F101)/(1-Factores!$C$10)*1/1000*Factores!$Q$10*G36*J36/12</f>
        <v>555.18915608898317</v>
      </c>
    </row>
    <row r="37" spans="2:15" x14ac:dyDescent="0.3">
      <c r="B37" s="267"/>
      <c r="C37" s="267"/>
      <c r="D37" s="267"/>
      <c r="E37" s="267"/>
      <c r="F37" s="267"/>
      <c r="G37" s="372"/>
      <c r="H37" s="267"/>
      <c r="I37" s="267"/>
      <c r="J37" s="267"/>
      <c r="K37" s="373"/>
      <c r="L37" s="267"/>
      <c r="M37" s="267"/>
      <c r="N37" s="267"/>
      <c r="O37" s="374"/>
    </row>
    <row r="38" spans="2:15" x14ac:dyDescent="0.3">
      <c r="B38" s="270"/>
      <c r="D38" s="270"/>
      <c r="E38" s="267"/>
      <c r="F38" s="267"/>
      <c r="G38" s="154"/>
      <c r="H38" s="154"/>
      <c r="I38" s="154"/>
      <c r="J38" s="154"/>
      <c r="K38" s="154"/>
      <c r="L38" s="154"/>
    </row>
    <row r="39" spans="2:15" x14ac:dyDescent="0.3">
      <c r="B39" s="268" t="s">
        <v>281</v>
      </c>
      <c r="C39" s="124"/>
      <c r="E39" s="267"/>
      <c r="F39" s="267"/>
      <c r="G39" s="154"/>
      <c r="H39" s="154"/>
      <c r="I39" s="154"/>
      <c r="J39" s="154"/>
      <c r="K39" s="154"/>
      <c r="L39" s="154"/>
    </row>
    <row r="40" spans="2:15" x14ac:dyDescent="0.3">
      <c r="B40" s="342" t="s">
        <v>153</v>
      </c>
      <c r="C40" s="342"/>
      <c r="D40" s="343" t="s">
        <v>154</v>
      </c>
      <c r="E40" s="343"/>
    </row>
    <row r="41" spans="2:15" ht="30" x14ac:dyDescent="0.3">
      <c r="B41" s="73" t="s">
        <v>11</v>
      </c>
      <c r="C41" s="73" t="s">
        <v>205</v>
      </c>
      <c r="D41" s="73" t="s">
        <v>11</v>
      </c>
      <c r="E41" s="73" t="s">
        <v>205</v>
      </c>
      <c r="F41" s="73" t="s">
        <v>95</v>
      </c>
      <c r="G41" s="73" t="s">
        <v>70</v>
      </c>
      <c r="H41" s="73" t="s">
        <v>296</v>
      </c>
      <c r="I41" s="73" t="s">
        <v>302</v>
      </c>
      <c r="J41" s="73" t="s">
        <v>96</v>
      </c>
      <c r="K41" s="73" t="s">
        <v>97</v>
      </c>
      <c r="L41" s="73" t="s">
        <v>51</v>
      </c>
      <c r="M41" s="73" t="s">
        <v>105</v>
      </c>
      <c r="N41" s="73" t="s">
        <v>275</v>
      </c>
    </row>
    <row r="42" spans="2:15" ht="45.6" x14ac:dyDescent="0.3">
      <c r="B42" s="74" t="s">
        <v>170</v>
      </c>
      <c r="C42" s="74" t="s">
        <v>206</v>
      </c>
      <c r="D42" s="74" t="s">
        <v>98</v>
      </c>
      <c r="E42" s="74" t="s">
        <v>206</v>
      </c>
      <c r="F42" s="74" t="s">
        <v>99</v>
      </c>
      <c r="G42" s="74" t="s">
        <v>100</v>
      </c>
      <c r="H42" s="74" t="s">
        <v>312</v>
      </c>
      <c r="I42" s="74" t="s">
        <v>303</v>
      </c>
      <c r="J42" s="74" t="s">
        <v>101</v>
      </c>
      <c r="K42" s="74" t="s">
        <v>102</v>
      </c>
      <c r="L42" s="74" t="s">
        <v>106</v>
      </c>
      <c r="M42" s="74" t="s">
        <v>107</v>
      </c>
      <c r="N42" s="74" t="s">
        <v>291</v>
      </c>
    </row>
    <row r="43" spans="2:15" x14ac:dyDescent="0.3">
      <c r="B43" s="142" t="s">
        <v>83</v>
      </c>
      <c r="C43" s="142" t="s">
        <v>207</v>
      </c>
      <c r="D43" s="142" t="s">
        <v>79</v>
      </c>
      <c r="E43" s="142" t="s">
        <v>207</v>
      </c>
      <c r="F43" s="194">
        <v>6170</v>
      </c>
      <c r="G43" s="142">
        <v>2013</v>
      </c>
      <c r="H43" s="142" t="s">
        <v>308</v>
      </c>
      <c r="I43" s="142">
        <f>12-11</f>
        <v>1</v>
      </c>
      <c r="J43" s="195">
        <v>43524</v>
      </c>
      <c r="K43" s="142" t="s">
        <v>103</v>
      </c>
      <c r="L43" s="142" t="s">
        <v>108</v>
      </c>
      <c r="M43" s="142" t="s">
        <v>109</v>
      </c>
      <c r="N43" s="284">
        <f>(Variables!J89-Variables!J87)/(1-Factores!$C$7)*1/1000*Factores!$Q$7*F43</f>
        <v>863.04811694444413</v>
      </c>
    </row>
    <row r="44" spans="2:15" x14ac:dyDescent="0.3">
      <c r="B44" s="142" t="s">
        <v>89</v>
      </c>
      <c r="C44" s="142" t="s">
        <v>207</v>
      </c>
      <c r="D44" s="142" t="s">
        <v>81</v>
      </c>
      <c r="E44" s="142"/>
      <c r="F44" s="194"/>
      <c r="G44" s="142"/>
      <c r="H44" s="142"/>
      <c r="I44" s="142"/>
      <c r="J44" s="195"/>
      <c r="K44" s="142"/>
      <c r="L44" s="142"/>
      <c r="M44" s="142"/>
      <c r="N44" s="284"/>
    </row>
    <row r="45" spans="2:15" x14ac:dyDescent="0.3">
      <c r="B45" s="142" t="s">
        <v>91</v>
      </c>
      <c r="C45" s="142" t="s">
        <v>207</v>
      </c>
      <c r="D45" s="142" t="s">
        <v>81</v>
      </c>
      <c r="E45" s="142"/>
      <c r="F45" s="194"/>
      <c r="G45" s="142"/>
      <c r="H45" s="142"/>
      <c r="I45" s="142"/>
      <c r="J45" s="195"/>
      <c r="K45" s="142"/>
      <c r="L45" s="142"/>
      <c r="M45" s="142"/>
      <c r="N45" s="284"/>
    </row>
    <row r="46" spans="2:15" x14ac:dyDescent="0.3">
      <c r="B46" s="142" t="s">
        <v>85</v>
      </c>
      <c r="C46" s="142" t="s">
        <v>207</v>
      </c>
      <c r="D46" s="142" t="s">
        <v>79</v>
      </c>
      <c r="E46" s="142"/>
      <c r="F46" s="194"/>
      <c r="G46" s="142"/>
      <c r="H46" s="142"/>
      <c r="I46" s="142"/>
      <c r="J46" s="195"/>
      <c r="K46" s="142"/>
      <c r="L46" s="142"/>
      <c r="M46" s="142"/>
      <c r="N46" s="284"/>
    </row>
    <row r="47" spans="2:15" x14ac:dyDescent="0.3">
      <c r="B47" s="142"/>
      <c r="C47" s="142"/>
      <c r="D47" s="142"/>
      <c r="E47" s="142"/>
      <c r="F47" s="194"/>
      <c r="G47" s="142"/>
      <c r="H47" s="142"/>
      <c r="I47" s="142"/>
      <c r="J47" s="195"/>
      <c r="K47" s="142"/>
      <c r="L47" s="142"/>
      <c r="M47" s="142"/>
      <c r="N47" s="284"/>
    </row>
    <row r="48" spans="2:15" x14ac:dyDescent="0.3">
      <c r="B48" s="142"/>
      <c r="C48" s="142"/>
      <c r="D48" s="142"/>
      <c r="E48" s="142"/>
      <c r="F48" s="194"/>
      <c r="G48" s="142"/>
      <c r="H48" s="142"/>
      <c r="I48" s="142"/>
      <c r="J48" s="195"/>
      <c r="K48" s="142"/>
      <c r="L48" s="142"/>
      <c r="M48" s="142"/>
      <c r="N48" s="284"/>
    </row>
    <row r="49" spans="2:19" x14ac:dyDescent="0.3">
      <c r="B49" s="142"/>
      <c r="C49" s="142"/>
      <c r="D49" s="142"/>
      <c r="E49" s="142"/>
      <c r="F49" s="194"/>
      <c r="G49" s="142"/>
      <c r="H49" s="142"/>
      <c r="I49" s="142"/>
      <c r="J49" s="195"/>
      <c r="K49" s="142"/>
      <c r="L49" s="142"/>
      <c r="M49" s="142"/>
      <c r="N49" s="284"/>
    </row>
    <row r="50" spans="2:19" x14ac:dyDescent="0.3">
      <c r="B50" s="142"/>
      <c r="C50" s="142"/>
      <c r="D50" s="142"/>
      <c r="E50" s="142"/>
      <c r="F50" s="194"/>
      <c r="G50" s="142"/>
      <c r="H50" s="142"/>
      <c r="I50" s="142"/>
      <c r="J50" s="195"/>
      <c r="K50" s="142"/>
      <c r="L50" s="142"/>
      <c r="M50" s="142"/>
      <c r="N50" s="284"/>
    </row>
    <row r="51" spans="2:19" x14ac:dyDescent="0.3">
      <c r="B51" s="142"/>
      <c r="C51" s="142"/>
      <c r="D51" s="142"/>
      <c r="E51" s="142"/>
      <c r="F51" s="43"/>
      <c r="G51" s="43"/>
      <c r="H51" s="43"/>
      <c r="I51" s="43"/>
      <c r="J51" s="43"/>
      <c r="K51" s="43"/>
      <c r="L51" s="43"/>
      <c r="M51" s="43"/>
      <c r="N51" s="43"/>
    </row>
    <row r="52" spans="2:19" x14ac:dyDescent="0.3">
      <c r="E52" s="267"/>
      <c r="F52" s="267"/>
      <c r="G52" s="154"/>
      <c r="H52" s="154"/>
      <c r="I52" s="154"/>
      <c r="J52" s="154"/>
      <c r="K52" s="154"/>
      <c r="L52" s="154"/>
    </row>
    <row r="53" spans="2:19" x14ac:dyDescent="0.3">
      <c r="B53" s="268" t="s">
        <v>285</v>
      </c>
      <c r="C53" s="342" t="s">
        <v>153</v>
      </c>
      <c r="D53" s="342"/>
      <c r="E53" s="343" t="s">
        <v>154</v>
      </c>
      <c r="F53" s="343"/>
    </row>
    <row r="54" spans="2:19" ht="30" x14ac:dyDescent="0.3">
      <c r="B54" s="75" t="s">
        <v>104</v>
      </c>
      <c r="C54" s="73" t="s">
        <v>11</v>
      </c>
      <c r="D54" s="73" t="s">
        <v>205</v>
      </c>
      <c r="E54" s="73" t="s">
        <v>11</v>
      </c>
      <c r="F54" s="73" t="s">
        <v>205</v>
      </c>
      <c r="G54" s="73" t="s">
        <v>95</v>
      </c>
      <c r="H54" s="73" t="s">
        <v>70</v>
      </c>
      <c r="I54" s="73" t="s">
        <v>296</v>
      </c>
      <c r="J54" s="73" t="s">
        <v>302</v>
      </c>
      <c r="K54" s="73" t="s">
        <v>96</v>
      </c>
      <c r="L54" s="73" t="s">
        <v>97</v>
      </c>
      <c r="M54" s="73" t="s">
        <v>51</v>
      </c>
      <c r="N54" s="73" t="s">
        <v>105</v>
      </c>
      <c r="O54" s="73" t="s">
        <v>275</v>
      </c>
    </row>
    <row r="55" spans="2:19" ht="34.200000000000003" x14ac:dyDescent="0.3">
      <c r="B55" s="74" t="s">
        <v>185</v>
      </c>
      <c r="C55" s="74" t="s">
        <v>170</v>
      </c>
      <c r="D55" s="74" t="s">
        <v>206</v>
      </c>
      <c r="E55" s="74" t="s">
        <v>98</v>
      </c>
      <c r="F55" s="74" t="s">
        <v>206</v>
      </c>
      <c r="G55" s="74" t="s">
        <v>99</v>
      </c>
      <c r="H55" s="74" t="s">
        <v>100</v>
      </c>
      <c r="I55" s="74" t="s">
        <v>312</v>
      </c>
      <c r="J55" s="74" t="s">
        <v>303</v>
      </c>
      <c r="K55" s="74" t="s">
        <v>101</v>
      </c>
      <c r="L55" s="74" t="s">
        <v>102</v>
      </c>
      <c r="M55" s="74" t="s">
        <v>106</v>
      </c>
      <c r="N55" s="74" t="s">
        <v>107</v>
      </c>
      <c r="O55" s="74" t="s">
        <v>291</v>
      </c>
      <c r="P55" s="287" t="s">
        <v>153</v>
      </c>
      <c r="Q55" s="287" t="s">
        <v>289</v>
      </c>
      <c r="R55" s="287" t="s">
        <v>290</v>
      </c>
      <c r="S55" s="287" t="s">
        <v>288</v>
      </c>
    </row>
    <row r="56" spans="2:19" x14ac:dyDescent="0.3">
      <c r="B56" s="309">
        <v>30</v>
      </c>
      <c r="C56" s="309" t="s">
        <v>85</v>
      </c>
      <c r="D56" s="309" t="s">
        <v>254</v>
      </c>
      <c r="E56" s="309" t="s">
        <v>81</v>
      </c>
      <c r="F56" s="309" t="s">
        <v>254</v>
      </c>
      <c r="G56" s="310">
        <v>10625</v>
      </c>
      <c r="H56" s="309">
        <v>2015</v>
      </c>
      <c r="I56" s="309" t="s">
        <v>306</v>
      </c>
      <c r="J56" s="309">
        <v>6</v>
      </c>
      <c r="K56" s="311">
        <v>43969</v>
      </c>
      <c r="L56" s="309" t="s">
        <v>103</v>
      </c>
      <c r="M56" s="309" t="s">
        <v>108</v>
      </c>
      <c r="N56" s="309" t="s">
        <v>109</v>
      </c>
      <c r="O56" s="312">
        <f>(((Variables!N90*Factores!$C$30*(Factores!G28+Factores!H28*Factores!C37+Factores!I28*Factores!C38))-(Variables!N88*Factores!$C$30*(Factores!G28+Factores!H28*Factores!C37+Factores!I28*Factores!C38)))*G56/1000)*J56/12</f>
        <v>25.163247614649734</v>
      </c>
      <c r="P56" s="285">
        <f>(Variables!N90*Factores!$C$30*(Factores!$G$28+Factores!$H$28*Factores!$C$37+Factores!$I$28*Factores!$C$38)/1000)*G56*J56/12</f>
        <v>333.41303089410809</v>
      </c>
      <c r="Q56" s="285">
        <f>(Variables!N88*Factores!$C$30*(Factores!$G$28+Factores!$H$28*Factores!$C$37+Factores!$I$28*Factores!$C$38)/1000)*G56*J56/12</f>
        <v>308.24978327945843</v>
      </c>
      <c r="R56" s="285">
        <f>P56-Q56</f>
        <v>25.163247614649663</v>
      </c>
      <c r="S56" s="285">
        <f>O56-R56</f>
        <v>7.1054273576010019E-14</v>
      </c>
    </row>
    <row r="57" spans="2:19" x14ac:dyDescent="0.3">
      <c r="B57" s="309">
        <v>150</v>
      </c>
      <c r="C57" s="309" t="s">
        <v>85</v>
      </c>
      <c r="D57" s="309" t="s">
        <v>254</v>
      </c>
      <c r="E57" s="309" t="s">
        <v>81</v>
      </c>
      <c r="F57" s="309" t="s">
        <v>254</v>
      </c>
      <c r="G57" s="310">
        <v>10625</v>
      </c>
      <c r="H57" s="309">
        <v>2015</v>
      </c>
      <c r="I57" s="309" t="s">
        <v>306</v>
      </c>
      <c r="J57" s="309">
        <v>6</v>
      </c>
      <c r="K57" s="311">
        <v>43969</v>
      </c>
      <c r="L57" s="309" t="s">
        <v>103</v>
      </c>
      <c r="M57" s="309" t="s">
        <v>108</v>
      </c>
      <c r="N57" s="309" t="s">
        <v>109</v>
      </c>
      <c r="O57" s="313">
        <f>(((Variables!N97*Factores!$C$30*(Factores!G28+Factores!H28*Factores!C37+Factores!I28*Factores!C38))-(Variables!N95*Factores!$C$30*(Factores!G28+Factores!H28*Factores!C37+Factores!I28*Factores!C38)))*G57/1000)*J57/12</f>
        <v>125.81623807324826</v>
      </c>
      <c r="P57" s="285">
        <f>(Variables!N97*Factores!$C$30*(Factores!$G$28+Factores!$H$28*Factores!$C$37+Factores!$I$28*Factores!$C$38)/1000)*G57*J57/12</f>
        <v>1667.0651544705406</v>
      </c>
      <c r="Q57" s="285">
        <f>(Variables!N95*Factores!$C$30*(Factores!$G$28+Factores!$H$28*Factores!$C$37+Factores!$I$28*Factores!$C$38)/1000)*G57*J57/12</f>
        <v>1541.2489163972923</v>
      </c>
      <c r="R57" s="285">
        <f t="shared" ref="R57:R61" si="0">P57-Q57</f>
        <v>125.81623807324831</v>
      </c>
      <c r="S57" s="285">
        <f t="shared" ref="S57:S61" si="1">O57-R57</f>
        <v>0</v>
      </c>
    </row>
    <row r="58" spans="2:19" x14ac:dyDescent="0.3">
      <c r="B58" s="309">
        <v>30</v>
      </c>
      <c r="C58" s="309" t="s">
        <v>85</v>
      </c>
      <c r="D58" s="309" t="s">
        <v>254</v>
      </c>
      <c r="E58" s="309" t="s">
        <v>81</v>
      </c>
      <c r="F58" s="309" t="s">
        <v>254</v>
      </c>
      <c r="G58" s="310">
        <v>10625</v>
      </c>
      <c r="H58" s="309">
        <v>2016</v>
      </c>
      <c r="I58" s="309" t="s">
        <v>306</v>
      </c>
      <c r="J58" s="309">
        <v>6</v>
      </c>
      <c r="K58" s="311">
        <v>43969</v>
      </c>
      <c r="L58" s="309" t="s">
        <v>103</v>
      </c>
      <c r="M58" s="309" t="s">
        <v>108</v>
      </c>
      <c r="N58" s="309" t="s">
        <v>109</v>
      </c>
      <c r="O58" s="312">
        <f t="shared" ref="O58:Q59" si="2">O56</f>
        <v>25.163247614649734</v>
      </c>
      <c r="P58" s="285">
        <f t="shared" si="2"/>
        <v>333.41303089410809</v>
      </c>
      <c r="Q58" s="285">
        <f t="shared" si="2"/>
        <v>308.24978327945843</v>
      </c>
      <c r="R58" s="285">
        <f t="shared" si="0"/>
        <v>25.163247614649663</v>
      </c>
      <c r="S58" s="285">
        <f t="shared" si="1"/>
        <v>7.1054273576010019E-14</v>
      </c>
    </row>
    <row r="59" spans="2:19" x14ac:dyDescent="0.3">
      <c r="B59" s="309">
        <v>150</v>
      </c>
      <c r="C59" s="309" t="s">
        <v>85</v>
      </c>
      <c r="D59" s="309" t="s">
        <v>254</v>
      </c>
      <c r="E59" s="309" t="s">
        <v>81</v>
      </c>
      <c r="F59" s="309" t="s">
        <v>254</v>
      </c>
      <c r="G59" s="310">
        <v>10625</v>
      </c>
      <c r="H59" s="309">
        <v>2016</v>
      </c>
      <c r="I59" s="309" t="s">
        <v>306</v>
      </c>
      <c r="J59" s="309">
        <v>6</v>
      </c>
      <c r="K59" s="311">
        <v>43969</v>
      </c>
      <c r="L59" s="309" t="s">
        <v>103</v>
      </c>
      <c r="M59" s="309" t="s">
        <v>108</v>
      </c>
      <c r="N59" s="309" t="s">
        <v>109</v>
      </c>
      <c r="O59" s="312">
        <f t="shared" si="2"/>
        <v>125.81623807324826</v>
      </c>
      <c r="P59" s="285">
        <f t="shared" si="2"/>
        <v>1667.0651544705406</v>
      </c>
      <c r="Q59" s="285">
        <f t="shared" si="2"/>
        <v>1541.2489163972923</v>
      </c>
      <c r="R59" s="285">
        <f t="shared" si="0"/>
        <v>125.81623807324831</v>
      </c>
      <c r="S59" s="285">
        <f t="shared" si="1"/>
        <v>0</v>
      </c>
    </row>
    <row r="60" spans="2:19" x14ac:dyDescent="0.3">
      <c r="B60" s="309">
        <v>30</v>
      </c>
      <c r="C60" s="309" t="s">
        <v>85</v>
      </c>
      <c r="D60" s="309" t="s">
        <v>256</v>
      </c>
      <c r="E60" s="309" t="s">
        <v>81</v>
      </c>
      <c r="F60" s="309" t="s">
        <v>254</v>
      </c>
      <c r="G60" s="310">
        <v>10625</v>
      </c>
      <c r="H60" s="309">
        <v>2017</v>
      </c>
      <c r="I60" s="309" t="s">
        <v>306</v>
      </c>
      <c r="J60" s="309">
        <v>6</v>
      </c>
      <c r="K60" s="311">
        <v>43969</v>
      </c>
      <c r="L60" s="309" t="s">
        <v>103</v>
      </c>
      <c r="M60" s="309" t="s">
        <v>108</v>
      </c>
      <c r="N60" s="309" t="s">
        <v>109</v>
      </c>
      <c r="O60" s="312">
        <f>(((Variables!O90*Factores!$C$31*(Factores!G29+Factores!H29*Factores!C37+Factores!I29*Factores!C38))-(Variables!N88*Factores!$C$30*(Factores!G28+Factores!H28*Factores!C37+Factores!I28*Factores!C38)))*G60/1000)*J60/12</f>
        <v>197.89057746462092</v>
      </c>
      <c r="P60" s="285">
        <f>(Variables!O90*Factores!$C$31*(Factores!$G$29+Factores!$H$29*Factores!$C$37+Factores!$I$29*Factores!$C$38)/1000)*G60*J60/12</f>
        <v>506.14036074407937</v>
      </c>
      <c r="Q60" s="285">
        <f>(Variables!N88*Factores!$C$30*(Factores!$G$28+Factores!$H$28*Factores!$C$37+Factores!$I$28*Factores!$C$38)/1000)*G60*J60/12</f>
        <v>308.24978327945843</v>
      </c>
      <c r="R60" s="285">
        <f t="shared" si="0"/>
        <v>197.89057746462095</v>
      </c>
      <c r="S60" s="285">
        <f t="shared" si="1"/>
        <v>0</v>
      </c>
    </row>
    <row r="61" spans="2:19" x14ac:dyDescent="0.3">
      <c r="B61" s="309">
        <v>150</v>
      </c>
      <c r="C61" s="309" t="s">
        <v>85</v>
      </c>
      <c r="D61" s="309" t="s">
        <v>256</v>
      </c>
      <c r="E61" s="309" t="s">
        <v>81</v>
      </c>
      <c r="F61" s="309" t="s">
        <v>254</v>
      </c>
      <c r="G61" s="310">
        <v>10625</v>
      </c>
      <c r="H61" s="309">
        <v>2017</v>
      </c>
      <c r="I61" s="309" t="s">
        <v>306</v>
      </c>
      <c r="J61" s="309">
        <v>6</v>
      </c>
      <c r="K61" s="311">
        <v>43969</v>
      </c>
      <c r="L61" s="309" t="s">
        <v>103</v>
      </c>
      <c r="M61" s="309" t="s">
        <v>108</v>
      </c>
      <c r="N61" s="309" t="s">
        <v>109</v>
      </c>
      <c r="O61" s="312">
        <f>(((Variables!O97*Factores!$C$31*(Factores!G29+Factores!H29*Factores!C37+Factores!I29*Factores!C38))-(Variables!N95*Factores!$C$30*(Factores!G28+Factores!H28*Factores!C37+Factores!I28*Factores!C38)))*G60/1000)*J61/12</f>
        <v>989.45288732310507</v>
      </c>
      <c r="P61" s="285">
        <f>(Variables!O97*Factores!$C$31*(Factores!$G$29+Factores!$H$29*Factores!$C$37+Factores!$I$29*Factores!$C$38)/1000)*G61*J61/12</f>
        <v>2530.7018037203975</v>
      </c>
      <c r="Q61" s="285">
        <f>(Variables!N95*Factores!$C$30*(Factores!$G$28+Factores!$H$28*Factores!$C$37+Factores!$I$28*Factores!$C$38)/1000)*G61*J61/12</f>
        <v>1541.2489163972923</v>
      </c>
      <c r="R61" s="285">
        <f t="shared" si="0"/>
        <v>989.45288732310519</v>
      </c>
      <c r="S61" s="285">
        <f t="shared" si="1"/>
        <v>0</v>
      </c>
    </row>
    <row r="62" spans="2:19" x14ac:dyDescent="0.3">
      <c r="B62" s="309">
        <v>30</v>
      </c>
      <c r="C62" s="309" t="s">
        <v>83</v>
      </c>
      <c r="D62" s="309" t="s">
        <v>254</v>
      </c>
      <c r="E62" s="309" t="s">
        <v>79</v>
      </c>
      <c r="F62" s="309" t="s">
        <v>254</v>
      </c>
      <c r="G62" s="310">
        <v>10625</v>
      </c>
      <c r="H62" s="309">
        <v>2018</v>
      </c>
      <c r="I62" s="309" t="s">
        <v>306</v>
      </c>
      <c r="J62" s="309">
        <v>6</v>
      </c>
      <c r="K62" s="311">
        <v>43969</v>
      </c>
      <c r="L62" s="309" t="s">
        <v>103</v>
      </c>
      <c r="M62" s="309" t="s">
        <v>108</v>
      </c>
      <c r="N62" s="309" t="s">
        <v>109</v>
      </c>
      <c r="O62" s="312">
        <f>(((Variables!N89*Factores!$C$30*(Factores!G28+Factores!H28*Factores!C37+Factores!I28*Factores!C38))-(Variables!N87*Factores!$C$30*(Factores!G28+Factores!H28*Factores!C37+Factores!I28*Factores!C38)))*G62/1000)*J62/12</f>
        <v>17.796556115262891</v>
      </c>
      <c r="P62" s="285">
        <f>(Variables!N89*Factores!$C$30*(Factores!$G$28+Factores!$H$28*Factores!$C$37+Factores!$I$28*Factores!$C$38)/1000)*G62*J62/12</f>
        <v>320.3380100747313</v>
      </c>
      <c r="Q62" s="285">
        <f>(Variables!N87*Factores!$C$30*(Factores!$G$28+Factores!$H$28*Factores!$C$37+Factores!$I$28*Factores!$C$38)/1000)*G62*J62/12</f>
        <v>302.54145395946841</v>
      </c>
      <c r="R62" s="285">
        <f t="shared" ref="R62" si="3">P62-Q62</f>
        <v>17.796556115262888</v>
      </c>
      <c r="S62" s="285">
        <f>O62-R62</f>
        <v>0</v>
      </c>
    </row>
    <row r="63" spans="2:19" x14ac:dyDescent="0.3">
      <c r="B63" s="309">
        <v>150</v>
      </c>
      <c r="C63" s="309" t="s">
        <v>83</v>
      </c>
      <c r="D63" s="309" t="s">
        <v>254</v>
      </c>
      <c r="E63" s="309" t="s">
        <v>79</v>
      </c>
      <c r="F63" s="309" t="s">
        <v>254</v>
      </c>
      <c r="G63" s="310">
        <v>10625</v>
      </c>
      <c r="H63" s="309">
        <v>2018</v>
      </c>
      <c r="I63" s="309" t="s">
        <v>306</v>
      </c>
      <c r="J63" s="309">
        <v>6</v>
      </c>
      <c r="K63" s="311">
        <v>43969</v>
      </c>
      <c r="L63" s="309" t="s">
        <v>103</v>
      </c>
      <c r="M63" s="309" t="s">
        <v>108</v>
      </c>
      <c r="N63" s="309" t="s">
        <v>109</v>
      </c>
      <c r="O63" s="312">
        <f>(((Variables!O96*Factores!$C$31*(Factores!G29+Factores!H29*Factores!C37+Factores!I29*Factores!C38))-(Variables!N94*Factores!$C$30*(Factores!G28+Factores!H28*Factores!C37+Factores!I28*Factores!C38)))*G62/1000)*J63/12</f>
        <v>918.75132593401941</v>
      </c>
      <c r="P63" s="285">
        <f>(Variables!O96*Factores!$C$31*(Factores!$G$29+Factores!$H$29*Factores!$C$37+Factores!$I$29*Factores!$C$38)/1000)*G62*J62/12</f>
        <v>2431.4585957313616</v>
      </c>
      <c r="Q63" s="306">
        <f>(Variables!N94*Factores!$C$30*(Factores!$G$28+Factores!$H$28*Factores!$C$37+Factores!$I$28*Factores!$C$38)/1000)*G63*J63/12</f>
        <v>1512.7072697973424</v>
      </c>
      <c r="R63" s="285">
        <f>P63-Q63</f>
        <v>918.75132593401918</v>
      </c>
      <c r="S63" s="285">
        <f>O63-R63</f>
        <v>0</v>
      </c>
    </row>
    <row r="64" spans="2:19" x14ac:dyDescent="0.3">
      <c r="P64" s="285"/>
      <c r="Q64" s="285"/>
    </row>
    <row r="65" spans="2:17" x14ac:dyDescent="0.3">
      <c r="L65" s="180"/>
      <c r="M65" s="341" t="s">
        <v>317</v>
      </c>
      <c r="N65" s="307">
        <v>2015</v>
      </c>
      <c r="O65" s="308">
        <f>O56+O57</f>
        <v>150.97948568789798</v>
      </c>
      <c r="P65" s="285"/>
      <c r="Q65" s="285"/>
    </row>
    <row r="66" spans="2:17" x14ac:dyDescent="0.3">
      <c r="L66" s="180"/>
      <c r="M66" s="341"/>
      <c r="N66" s="307">
        <v>2016</v>
      </c>
      <c r="O66" s="308">
        <f>(O56+O57)*2+O58+O59</f>
        <v>452.93845706369393</v>
      </c>
      <c r="P66" s="285"/>
      <c r="Q66" s="285"/>
    </row>
    <row r="67" spans="2:17" x14ac:dyDescent="0.3">
      <c r="L67" s="180"/>
      <c r="M67" s="341"/>
      <c r="N67" s="307">
        <v>2017</v>
      </c>
      <c r="O67" s="308">
        <f>(O56+O57)*2+(O58+O59)*2+O60+O61</f>
        <v>1791.261407539318</v>
      </c>
      <c r="P67" s="285"/>
      <c r="Q67" s="285"/>
    </row>
    <row r="68" spans="2:17" x14ac:dyDescent="0.3">
      <c r="M68" s="341"/>
      <c r="N68" s="307">
        <v>2018</v>
      </c>
      <c r="O68" s="308">
        <f>(O56+O57)*2+(O58+O59)*2+(O60+O61)*2+O62+O63</f>
        <v>3915.1527543763259</v>
      </c>
      <c r="P68" s="285"/>
      <c r="Q68" s="285"/>
    </row>
    <row r="69" spans="2:17" x14ac:dyDescent="0.3">
      <c r="P69" s="285"/>
      <c r="Q69" s="285"/>
    </row>
    <row r="70" spans="2:17" x14ac:dyDescent="0.3">
      <c r="P70" s="285"/>
      <c r="Q70" s="285"/>
    </row>
    <row r="71" spans="2:17" x14ac:dyDescent="0.3">
      <c r="P71" s="285"/>
      <c r="Q71" s="285"/>
    </row>
    <row r="72" spans="2:17" x14ac:dyDescent="0.3">
      <c r="P72" s="285"/>
      <c r="Q72" s="285"/>
    </row>
    <row r="73" spans="2:17" x14ac:dyDescent="0.3">
      <c r="P73" s="285"/>
      <c r="Q73" s="285"/>
    </row>
    <row r="74" spans="2:17" x14ac:dyDescent="0.3">
      <c r="P74" s="285"/>
      <c r="Q74" s="285"/>
    </row>
    <row r="75" spans="2:17" x14ac:dyDescent="0.3">
      <c r="B75" s="42" t="s">
        <v>72</v>
      </c>
      <c r="C75" s="143" t="s">
        <v>153</v>
      </c>
      <c r="D75" s="144" t="s">
        <v>154</v>
      </c>
    </row>
    <row r="76" spans="2:17" ht="30" x14ac:dyDescent="0.3">
      <c r="B76" s="75" t="s">
        <v>156</v>
      </c>
      <c r="C76" s="73" t="s">
        <v>11</v>
      </c>
      <c r="D76" s="73" t="s">
        <v>11</v>
      </c>
      <c r="E76" s="73" t="s">
        <v>95</v>
      </c>
      <c r="F76" s="73" t="s">
        <v>70</v>
      </c>
      <c r="G76" s="73" t="s">
        <v>296</v>
      </c>
      <c r="H76" s="73" t="s">
        <v>302</v>
      </c>
      <c r="I76" s="73" t="s">
        <v>96</v>
      </c>
      <c r="J76" s="73" t="s">
        <v>97</v>
      </c>
      <c r="K76" s="73" t="s">
        <v>51</v>
      </c>
      <c r="L76" s="73" t="s">
        <v>105</v>
      </c>
      <c r="M76" s="73" t="s">
        <v>275</v>
      </c>
    </row>
    <row r="77" spans="2:17" ht="22.8" x14ac:dyDescent="0.3">
      <c r="B77" s="74" t="s">
        <v>148</v>
      </c>
      <c r="C77" s="74" t="s">
        <v>170</v>
      </c>
      <c r="D77" s="74" t="s">
        <v>98</v>
      </c>
      <c r="E77" s="74" t="s">
        <v>99</v>
      </c>
      <c r="F77" s="74" t="s">
        <v>100</v>
      </c>
      <c r="G77" s="74" t="s">
        <v>313</v>
      </c>
      <c r="H77" s="74" t="s">
        <v>303</v>
      </c>
      <c r="I77" s="74" t="s">
        <v>101</v>
      </c>
      <c r="J77" s="74" t="s">
        <v>102</v>
      </c>
      <c r="K77" s="74" t="s">
        <v>106</v>
      </c>
      <c r="L77" s="74" t="s">
        <v>107</v>
      </c>
      <c r="M77" s="74" t="s">
        <v>291</v>
      </c>
    </row>
    <row r="78" spans="2:17" x14ac:dyDescent="0.3">
      <c r="B78" s="142" t="s">
        <v>131</v>
      </c>
      <c r="C78" s="142" t="s">
        <v>85</v>
      </c>
      <c r="D78" s="142" t="s">
        <v>79</v>
      </c>
      <c r="E78" s="194">
        <v>180000</v>
      </c>
      <c r="F78" s="142">
        <v>2015</v>
      </c>
      <c r="G78" s="142" t="s">
        <v>305</v>
      </c>
      <c r="H78" s="142">
        <f>12-4</f>
        <v>8</v>
      </c>
      <c r="I78" s="195">
        <v>43978</v>
      </c>
      <c r="J78" s="142" t="s">
        <v>103</v>
      </c>
      <c r="K78" s="142" t="s">
        <v>108</v>
      </c>
      <c r="L78" s="142" t="s">
        <v>109</v>
      </c>
      <c r="M78" s="304">
        <f>(Variables!F124-Variables!F121)/(1-Factores!C9)*1/1000*Factores!Q9*E78*H78/12</f>
        <v>14231.111878241261</v>
      </c>
    </row>
    <row r="79" spans="2:17" x14ac:dyDescent="0.3">
      <c r="B79" s="142" t="s">
        <v>132</v>
      </c>
      <c r="C79" s="142" t="s">
        <v>87</v>
      </c>
      <c r="D79" s="142" t="s">
        <v>81</v>
      </c>
      <c r="E79" s="194">
        <v>50000</v>
      </c>
      <c r="F79" s="142">
        <v>2015</v>
      </c>
      <c r="G79" s="142" t="s">
        <v>307</v>
      </c>
      <c r="H79" s="142">
        <v>7</v>
      </c>
      <c r="I79" s="195">
        <v>43978</v>
      </c>
      <c r="J79" s="142" t="s">
        <v>103</v>
      </c>
      <c r="K79" s="142" t="s">
        <v>108</v>
      </c>
      <c r="L79" s="142" t="s">
        <v>109</v>
      </c>
      <c r="M79" s="304">
        <f>(Variables!F132-Variables!F129)/(1-Factores!C9)*1/1000*Factores!Q9*E79*H79/12</f>
        <v>4236.221340191657</v>
      </c>
    </row>
    <row r="80" spans="2:17" x14ac:dyDescent="0.3">
      <c r="B80" s="142" t="s">
        <v>133</v>
      </c>
      <c r="C80" s="142" t="s">
        <v>83</v>
      </c>
      <c r="D80" s="142" t="s">
        <v>79</v>
      </c>
      <c r="E80" s="194">
        <v>85000</v>
      </c>
      <c r="F80" s="142">
        <v>2015</v>
      </c>
      <c r="G80" s="142" t="s">
        <v>306</v>
      </c>
      <c r="H80" s="142">
        <v>6</v>
      </c>
      <c r="I80" s="195">
        <v>43978</v>
      </c>
      <c r="J80" s="142" t="s">
        <v>103</v>
      </c>
      <c r="K80" s="142" t="s">
        <v>108</v>
      </c>
      <c r="L80" s="142" t="s">
        <v>109</v>
      </c>
      <c r="M80" s="304">
        <f>(Variables!F137-Variables!F135)/(1-Factores!C9)*1/1000*Factores!Q9*E80*H80/12</f>
        <v>3927.3622178692253</v>
      </c>
    </row>
    <row r="81" spans="2:13" x14ac:dyDescent="0.3">
      <c r="B81" s="142" t="s">
        <v>130</v>
      </c>
      <c r="C81" s="142" t="s">
        <v>87</v>
      </c>
      <c r="D81" s="142" t="s">
        <v>81</v>
      </c>
      <c r="E81" s="194">
        <v>220000</v>
      </c>
      <c r="F81" s="142">
        <v>2016</v>
      </c>
      <c r="G81" s="142" t="s">
        <v>305</v>
      </c>
      <c r="H81" s="142">
        <f>12-4</f>
        <v>8</v>
      </c>
      <c r="I81" s="195">
        <v>43978</v>
      </c>
      <c r="J81" s="142" t="s">
        <v>103</v>
      </c>
      <c r="K81" s="142" t="s">
        <v>108</v>
      </c>
      <c r="L81" s="142" t="s">
        <v>109</v>
      </c>
      <c r="M81" s="304">
        <f>(Variables!F118-Variables!F115)/(1-Factores!C10)*1/1000*Factores!Q10*E81*H81/12</f>
        <v>10933.622765432096</v>
      </c>
    </row>
    <row r="82" spans="2:13" x14ac:dyDescent="0.3">
      <c r="B82" s="142" t="s">
        <v>131</v>
      </c>
      <c r="C82" s="142" t="s">
        <v>85</v>
      </c>
      <c r="D82" s="142" t="s">
        <v>79</v>
      </c>
      <c r="E82" s="194">
        <v>180000</v>
      </c>
      <c r="F82" s="142">
        <v>2016</v>
      </c>
      <c r="G82" s="142" t="s">
        <v>307</v>
      </c>
      <c r="H82" s="142">
        <v>7</v>
      </c>
      <c r="I82" s="195">
        <v>43978</v>
      </c>
      <c r="J82" s="142" t="s">
        <v>103</v>
      </c>
      <c r="K82" s="142" t="s">
        <v>108</v>
      </c>
      <c r="L82" s="142" t="s">
        <v>109</v>
      </c>
      <c r="M82" s="304">
        <f>(Variables!F124-Variables!F121)/(1-Factores!C10)*1/1000*Factores!Q10*E82*H82/12</f>
        <v>8142.3129949494933</v>
      </c>
    </row>
    <row r="83" spans="2:13" x14ac:dyDescent="0.3">
      <c r="B83" s="142" t="s">
        <v>133</v>
      </c>
      <c r="C83" s="142" t="s">
        <v>85</v>
      </c>
      <c r="D83" s="142" t="s">
        <v>79</v>
      </c>
      <c r="E83" s="194">
        <v>110000</v>
      </c>
      <c r="F83" s="142">
        <v>2016</v>
      </c>
      <c r="G83" s="142" t="s">
        <v>306</v>
      </c>
      <c r="H83" s="142">
        <v>6</v>
      </c>
      <c r="I83" s="195">
        <v>43978</v>
      </c>
      <c r="J83" s="142" t="s">
        <v>103</v>
      </c>
      <c r="K83" s="142" t="s">
        <v>108</v>
      </c>
      <c r="L83" s="142" t="s">
        <v>109</v>
      </c>
      <c r="M83" s="304">
        <f>(Variables!F138-Variables!F135)/(1-Factores!C10)*1/1000*Factores!Q10*E83*H83/12</f>
        <v>5538.9108333333324</v>
      </c>
    </row>
    <row r="84" spans="2:13" x14ac:dyDescent="0.3">
      <c r="B84" s="142"/>
      <c r="C84" s="142"/>
      <c r="D84" s="142"/>
      <c r="E84" s="43"/>
      <c r="F84" s="43"/>
      <c r="G84" s="43"/>
      <c r="H84" s="43"/>
      <c r="I84" s="43"/>
      <c r="J84" s="43"/>
      <c r="K84" s="43"/>
      <c r="L84" s="43"/>
      <c r="M84" s="286">
        <f>((Variables!N106*Factores!$C$31*(Factores!F37+Factores!G37*Factores!B45+Factores!H37*Factores!B46))-(Variables!M103*Factores!$C$30*(Factores!F36+Factores!G36*Factores!B45+Factores!H36*Factores!B46)))*F84/1000</f>
        <v>0</v>
      </c>
    </row>
    <row r="85" spans="2:13" x14ac:dyDescent="0.3">
      <c r="C85" s="68"/>
      <c r="K85" s="124"/>
    </row>
    <row r="86" spans="2:13" x14ac:dyDescent="0.3">
      <c r="B86" s="42" t="s">
        <v>73</v>
      </c>
      <c r="C86" s="143" t="s">
        <v>153</v>
      </c>
      <c r="D86" s="144" t="s">
        <v>154</v>
      </c>
    </row>
    <row r="87" spans="2:13" ht="30" x14ac:dyDescent="0.3">
      <c r="B87" s="75" t="s">
        <v>156</v>
      </c>
      <c r="C87" s="73" t="s">
        <v>11</v>
      </c>
      <c r="D87" s="73" t="s">
        <v>11</v>
      </c>
      <c r="E87" s="73" t="s">
        <v>95</v>
      </c>
      <c r="F87" s="73" t="s">
        <v>70</v>
      </c>
      <c r="G87" s="73" t="s">
        <v>296</v>
      </c>
      <c r="H87" s="73" t="s">
        <v>302</v>
      </c>
      <c r="I87" s="73" t="s">
        <v>96</v>
      </c>
      <c r="J87" s="73" t="s">
        <v>97</v>
      </c>
      <c r="K87" s="73" t="s">
        <v>51</v>
      </c>
      <c r="L87" s="73" t="s">
        <v>105</v>
      </c>
      <c r="M87" s="73" t="s">
        <v>275</v>
      </c>
    </row>
    <row r="88" spans="2:13" ht="22.8" x14ac:dyDescent="0.3">
      <c r="B88" s="74" t="s">
        <v>148</v>
      </c>
      <c r="C88" s="74" t="s">
        <v>170</v>
      </c>
      <c r="D88" s="74" t="s">
        <v>98</v>
      </c>
      <c r="E88" s="74" t="s">
        <v>99</v>
      </c>
      <c r="F88" s="74" t="s">
        <v>100</v>
      </c>
      <c r="G88" s="74" t="s">
        <v>314</v>
      </c>
      <c r="H88" s="74" t="s">
        <v>303</v>
      </c>
      <c r="I88" s="74" t="s">
        <v>101</v>
      </c>
      <c r="J88" s="74" t="s">
        <v>102</v>
      </c>
      <c r="K88" s="74" t="s">
        <v>106</v>
      </c>
      <c r="L88" s="74" t="s">
        <v>107</v>
      </c>
      <c r="M88" s="74" t="s">
        <v>291</v>
      </c>
    </row>
    <row r="89" spans="2:13" x14ac:dyDescent="0.3">
      <c r="B89" s="377" t="s">
        <v>293</v>
      </c>
      <c r="C89" s="377" t="s">
        <v>89</v>
      </c>
      <c r="D89" s="377" t="s">
        <v>79</v>
      </c>
      <c r="E89" s="378">
        <v>10000</v>
      </c>
      <c r="F89" s="377">
        <v>2013</v>
      </c>
      <c r="G89" s="377" t="s">
        <v>309</v>
      </c>
      <c r="H89" s="377">
        <f>12-8</f>
        <v>4</v>
      </c>
      <c r="I89" s="379">
        <v>43524</v>
      </c>
      <c r="J89" s="377" t="s">
        <v>103</v>
      </c>
      <c r="K89" s="377" t="s">
        <v>108</v>
      </c>
      <c r="L89" s="377" t="s">
        <v>109</v>
      </c>
      <c r="M89" s="378">
        <f>((Variables!F160-Factores!F122)/(1-Factores!$C$7)*1/1000*Factores!$Q$7*E89)*4/12</f>
        <v>168.64954788627014</v>
      </c>
    </row>
    <row r="90" spans="2:13" x14ac:dyDescent="0.3">
      <c r="B90" s="377" t="s">
        <v>294</v>
      </c>
      <c r="C90" s="377" t="s">
        <v>91</v>
      </c>
      <c r="D90" s="377" t="s">
        <v>81</v>
      </c>
      <c r="E90" s="378">
        <v>10000</v>
      </c>
      <c r="F90" s="377">
        <v>2014</v>
      </c>
      <c r="G90" s="377" t="s">
        <v>305</v>
      </c>
      <c r="H90" s="377">
        <f>12-4</f>
        <v>8</v>
      </c>
      <c r="I90" s="380"/>
      <c r="J90" s="380"/>
      <c r="K90" s="380"/>
      <c r="L90" s="380"/>
      <c r="M90" s="378">
        <f>((Variables!F168-Variables!F163)/(1-Factores!$C$8)*1/1000*Factores!$Q$8*E90)*H90/12</f>
        <v>264.56707086614176</v>
      </c>
    </row>
    <row r="91" spans="2:13" x14ac:dyDescent="0.3">
      <c r="B91" s="267" t="s">
        <v>294</v>
      </c>
      <c r="C91" s="375" t="s">
        <v>91</v>
      </c>
      <c r="D91" s="375" t="s">
        <v>79</v>
      </c>
      <c r="E91" s="376">
        <v>30000</v>
      </c>
      <c r="F91" s="294">
        <v>2015</v>
      </c>
      <c r="G91" s="142" t="s">
        <v>300</v>
      </c>
      <c r="H91" s="142">
        <v>5</v>
      </c>
      <c r="I91" s="43"/>
      <c r="J91" s="43"/>
      <c r="K91" s="43"/>
      <c r="L91" s="43"/>
      <c r="M91" s="284">
        <f>((Variables!F168-Variables!F162)/(1-Factores!$C$9)*1/1000*Factores!$Q$9*E91)*H91/12</f>
        <v>530.58704763246885</v>
      </c>
    </row>
    <row r="92" spans="2:13" x14ac:dyDescent="0.3">
      <c r="B92" s="267" t="s">
        <v>294</v>
      </c>
      <c r="C92" s="375" t="s">
        <v>89</v>
      </c>
      <c r="D92" s="375" t="s">
        <v>81</v>
      </c>
      <c r="E92" s="376">
        <v>20000</v>
      </c>
      <c r="F92" s="294">
        <v>2015</v>
      </c>
      <c r="G92" s="142" t="s">
        <v>305</v>
      </c>
      <c r="H92" s="142">
        <v>8</v>
      </c>
      <c r="I92" s="43"/>
      <c r="J92" s="43"/>
      <c r="K92" s="43"/>
      <c r="L92" s="43"/>
      <c r="M92" s="284">
        <f>((Variables!F167-Variables!F163)/(1-Factores!$C$9)*1/1000*Factores!$Q$9*E92)*H92/12</f>
        <v>488.45928974069915</v>
      </c>
    </row>
    <row r="93" spans="2:13" x14ac:dyDescent="0.3">
      <c r="B93" s="267" t="s">
        <v>294</v>
      </c>
      <c r="C93" s="375" t="s">
        <v>87</v>
      </c>
      <c r="D93" s="375" t="s">
        <v>83</v>
      </c>
      <c r="E93" s="376">
        <v>10000</v>
      </c>
      <c r="F93" s="294">
        <v>2015</v>
      </c>
      <c r="G93" s="142" t="s">
        <v>301</v>
      </c>
      <c r="H93" s="142">
        <v>11</v>
      </c>
      <c r="I93" s="43"/>
      <c r="J93" s="43"/>
      <c r="K93" s="43"/>
      <c r="L93" s="43"/>
      <c r="M93" s="284">
        <f>((Variables!F166-Variables!F164)/(1-Factores!$C$9)*1/1000*Factores!$Q$9*E93)*H93/12</f>
        <v>214.28243841600906</v>
      </c>
    </row>
    <row r="94" spans="2:13" x14ac:dyDescent="0.3">
      <c r="B94" s="267" t="s">
        <v>294</v>
      </c>
      <c r="C94" s="375" t="s">
        <v>91</v>
      </c>
      <c r="D94" s="375" t="s">
        <v>79</v>
      </c>
      <c r="E94" s="376">
        <v>30000</v>
      </c>
      <c r="F94" s="294">
        <v>2016</v>
      </c>
      <c r="G94" s="142" t="s">
        <v>300</v>
      </c>
      <c r="H94" s="142">
        <v>5</v>
      </c>
      <c r="I94" s="43"/>
      <c r="J94" s="43"/>
      <c r="K94" s="43"/>
      <c r="L94" s="43"/>
      <c r="M94" s="284">
        <f>((Variables!F168-Variables!F162)/(1-Factores!$C$10)*1/1000*Factores!$Q$10*E94)*H94/12</f>
        <v>346.94253787878779</v>
      </c>
    </row>
    <row r="95" spans="2:13" x14ac:dyDescent="0.3">
      <c r="B95" s="267" t="s">
        <v>294</v>
      </c>
      <c r="C95" s="375" t="s">
        <v>89</v>
      </c>
      <c r="D95" s="375" t="s">
        <v>81</v>
      </c>
      <c r="E95" s="376">
        <v>20000</v>
      </c>
      <c r="F95" s="294">
        <v>2016</v>
      </c>
      <c r="G95" s="142" t="s">
        <v>305</v>
      </c>
      <c r="H95" s="142">
        <v>8</v>
      </c>
      <c r="I95" s="43"/>
      <c r="J95" s="43"/>
      <c r="K95" s="43"/>
      <c r="L95" s="43"/>
      <c r="M95" s="284">
        <f>((Variables!F167-Variables!F163)/(1-Factores!$C$10)*1/1000*Factores!$Q$10*E95)*H95/12</f>
        <v>319.39585858585866</v>
      </c>
    </row>
    <row r="96" spans="2:13" x14ac:dyDescent="0.3">
      <c r="B96" s="267" t="s">
        <v>294</v>
      </c>
      <c r="C96" s="375" t="s">
        <v>87</v>
      </c>
      <c r="D96" s="375" t="s">
        <v>83</v>
      </c>
      <c r="E96" s="376">
        <v>10000</v>
      </c>
      <c r="F96" s="294">
        <v>2016</v>
      </c>
      <c r="G96" s="142" t="s">
        <v>301</v>
      </c>
      <c r="H96" s="142">
        <v>11</v>
      </c>
      <c r="I96" s="43"/>
      <c r="J96" s="43"/>
      <c r="K96" s="43"/>
      <c r="L96" s="43"/>
      <c r="M96" s="284">
        <f>((Variables!F166-Variables!F164)/(1-Factores!$C$10)*1/1000*Factores!$Q$10*E96)*H96/12</f>
        <v>140.11592129629631</v>
      </c>
    </row>
    <row r="97" spans="2:14" x14ac:dyDescent="0.3">
      <c r="K97" s="124"/>
    </row>
    <row r="98" spans="2:14" x14ac:dyDescent="0.3">
      <c r="C98" s="124"/>
      <c r="K98" s="124"/>
    </row>
    <row r="99" spans="2:14" x14ac:dyDescent="0.3">
      <c r="B99" s="42" t="s">
        <v>25</v>
      </c>
      <c r="C99" s="143" t="s">
        <v>153</v>
      </c>
      <c r="D99" s="144" t="s">
        <v>154</v>
      </c>
    </row>
    <row r="100" spans="2:14" ht="30" x14ac:dyDescent="0.3">
      <c r="B100" s="75" t="s">
        <v>52</v>
      </c>
      <c r="C100" s="73" t="s">
        <v>11</v>
      </c>
      <c r="D100" s="73" t="s">
        <v>11</v>
      </c>
      <c r="E100" s="75" t="s">
        <v>137</v>
      </c>
      <c r="F100" s="73" t="s">
        <v>95</v>
      </c>
      <c r="G100" s="73" t="s">
        <v>70</v>
      </c>
      <c r="H100" s="73" t="s">
        <v>296</v>
      </c>
      <c r="I100" s="73" t="s">
        <v>302</v>
      </c>
      <c r="J100" s="73" t="s">
        <v>96</v>
      </c>
      <c r="K100" s="73" t="s">
        <v>97</v>
      </c>
      <c r="L100" s="73" t="s">
        <v>51</v>
      </c>
      <c r="M100" s="73" t="s">
        <v>105</v>
      </c>
      <c r="N100" s="73" t="s">
        <v>275</v>
      </c>
    </row>
    <row r="101" spans="2:14" ht="45.6" x14ac:dyDescent="0.3">
      <c r="B101" s="74" t="s">
        <v>148</v>
      </c>
      <c r="C101" s="74" t="s">
        <v>170</v>
      </c>
      <c r="D101" s="74" t="s">
        <v>98</v>
      </c>
      <c r="E101" s="74" t="s">
        <v>136</v>
      </c>
      <c r="F101" s="74" t="s">
        <v>99</v>
      </c>
      <c r="G101" s="74" t="s">
        <v>100</v>
      </c>
      <c r="H101" s="74" t="s">
        <v>315</v>
      </c>
      <c r="I101" s="74" t="s">
        <v>303</v>
      </c>
      <c r="J101" s="74" t="s">
        <v>101</v>
      </c>
      <c r="K101" s="74" t="s">
        <v>102</v>
      </c>
      <c r="L101" s="74" t="s">
        <v>106</v>
      </c>
      <c r="M101" s="74" t="s">
        <v>107</v>
      </c>
      <c r="N101" s="74" t="s">
        <v>291</v>
      </c>
    </row>
    <row r="102" spans="2:14" x14ac:dyDescent="0.3">
      <c r="B102" s="142" t="s">
        <v>113</v>
      </c>
      <c r="C102" s="142" t="s">
        <v>87</v>
      </c>
      <c r="D102" s="142" t="s">
        <v>79</v>
      </c>
      <c r="E102" s="305" t="s">
        <v>141</v>
      </c>
      <c r="F102" s="194">
        <v>100000</v>
      </c>
      <c r="G102" s="142">
        <v>2018</v>
      </c>
      <c r="H102" s="142" t="s">
        <v>306</v>
      </c>
      <c r="I102" s="142">
        <f>12-6</f>
        <v>6</v>
      </c>
      <c r="J102" s="195">
        <v>43524</v>
      </c>
      <c r="K102" s="142" t="s">
        <v>103</v>
      </c>
      <c r="L102" s="142" t="s">
        <v>108</v>
      </c>
      <c r="M102" s="142" t="s">
        <v>109</v>
      </c>
      <c r="N102" s="304">
        <f>((Variables!H207-Variables!H203)/(1-Factores!$C$12)*1/1000*Factores!$Q$12*F102)*I102/12</f>
        <v>4180.8810765544795</v>
      </c>
    </row>
    <row r="103" spans="2:14" x14ac:dyDescent="0.3">
      <c r="B103" s="142" t="s">
        <v>113</v>
      </c>
      <c r="C103" s="142" t="s">
        <v>89</v>
      </c>
      <c r="D103" s="294" t="s">
        <v>81</v>
      </c>
      <c r="E103" s="298" t="s">
        <v>142</v>
      </c>
      <c r="F103" s="295">
        <v>80000</v>
      </c>
      <c r="G103" s="294">
        <v>2018</v>
      </c>
      <c r="H103" s="142" t="s">
        <v>297</v>
      </c>
      <c r="I103" s="142">
        <f>12-3</f>
        <v>9</v>
      </c>
      <c r="J103" s="299">
        <v>43525</v>
      </c>
      <c r="K103" s="294" t="s">
        <v>103</v>
      </c>
      <c r="L103" s="294" t="s">
        <v>108</v>
      </c>
      <c r="M103" s="294" t="s">
        <v>109</v>
      </c>
      <c r="N103" s="296">
        <f>((Variables!H215-Variables!H211)/(1-Factores!$C$12)*1/1000*Factores!$Q$12*F103)*I103/12</f>
        <v>8548.1732446688748</v>
      </c>
    </row>
    <row r="104" spans="2:14" x14ac:dyDescent="0.3">
      <c r="B104" s="142"/>
      <c r="C104" s="142"/>
      <c r="D104" s="294"/>
      <c r="E104" s="298"/>
      <c r="F104" s="295"/>
      <c r="G104" s="294"/>
      <c r="H104" s="142"/>
      <c r="I104" s="142"/>
      <c r="J104" s="299"/>
      <c r="K104" s="294"/>
      <c r="L104" s="294"/>
      <c r="M104" s="294"/>
      <c r="N104" s="296"/>
    </row>
    <row r="105" spans="2:14" x14ac:dyDescent="0.3">
      <c r="B105" s="142" t="s">
        <v>113</v>
      </c>
      <c r="C105" s="142" t="s">
        <v>87</v>
      </c>
      <c r="D105" s="294" t="s">
        <v>79</v>
      </c>
      <c r="E105" s="298" t="s">
        <v>139</v>
      </c>
      <c r="F105" s="295">
        <v>100000</v>
      </c>
      <c r="G105" s="294">
        <v>2015</v>
      </c>
      <c r="H105" s="142" t="s">
        <v>301</v>
      </c>
      <c r="I105" s="142">
        <v>11</v>
      </c>
      <c r="J105" s="299" t="s">
        <v>318</v>
      </c>
      <c r="K105" s="294"/>
      <c r="L105" s="294"/>
      <c r="M105" s="294"/>
      <c r="N105" s="296">
        <f>((Variables!H193-Variables!H189)/(1-Factores!$C$9)*1/1000*Factores!$Q$9*F105)*I105/12</f>
        <v>6519.6305696402633</v>
      </c>
    </row>
    <row r="106" spans="2:14" x14ac:dyDescent="0.3">
      <c r="B106" s="142" t="s">
        <v>113</v>
      </c>
      <c r="C106" s="142" t="s">
        <v>89</v>
      </c>
      <c r="D106" s="294" t="s">
        <v>79</v>
      </c>
      <c r="E106" s="298" t="s">
        <v>139</v>
      </c>
      <c r="F106" s="295">
        <v>95000</v>
      </c>
      <c r="G106" s="294">
        <v>2015</v>
      </c>
      <c r="H106" s="142" t="s">
        <v>299</v>
      </c>
      <c r="I106" s="142">
        <v>10</v>
      </c>
      <c r="J106" s="299" t="s">
        <v>318</v>
      </c>
      <c r="K106" s="294"/>
      <c r="L106" s="294"/>
      <c r="M106" s="294"/>
      <c r="N106" s="296">
        <f>((Variables!H194-Variables!H189)/(1-Factores!$C$9)*1/1000*Factores!$Q$9*F106)*I106/12</f>
        <v>8130.2013820026013</v>
      </c>
    </row>
    <row r="107" spans="2:14" x14ac:dyDescent="0.3">
      <c r="B107" s="142" t="s">
        <v>113</v>
      </c>
      <c r="C107" s="142" t="s">
        <v>91</v>
      </c>
      <c r="D107" s="294" t="s">
        <v>81</v>
      </c>
      <c r="E107" s="298" t="s">
        <v>139</v>
      </c>
      <c r="F107" s="295">
        <v>95000</v>
      </c>
      <c r="G107" s="294">
        <v>2015</v>
      </c>
      <c r="H107" s="142" t="s">
        <v>297</v>
      </c>
      <c r="I107" s="142">
        <v>9</v>
      </c>
      <c r="J107" s="299" t="s">
        <v>318</v>
      </c>
      <c r="K107" s="294"/>
      <c r="L107" s="294"/>
      <c r="M107" s="294"/>
      <c r="N107" s="296">
        <f>((Variables!H195-Variables!H190)/(1-Factores!$C$9)*1/1000*Factores!$Q$9*F107)*I107/12</f>
        <v>7872.5888533634134</v>
      </c>
    </row>
    <row r="108" spans="2:14" x14ac:dyDescent="0.3">
      <c r="B108" s="142" t="s">
        <v>113</v>
      </c>
      <c r="C108" s="142" t="s">
        <v>87</v>
      </c>
      <c r="D108" s="294" t="s">
        <v>79</v>
      </c>
      <c r="E108" s="298" t="s">
        <v>139</v>
      </c>
      <c r="F108" s="295">
        <v>120000</v>
      </c>
      <c r="G108" s="294">
        <v>2016</v>
      </c>
      <c r="H108" s="142" t="s">
        <v>301</v>
      </c>
      <c r="I108" s="142">
        <v>11</v>
      </c>
      <c r="J108" s="299" t="s">
        <v>318</v>
      </c>
      <c r="K108" s="294"/>
      <c r="L108" s="294"/>
      <c r="M108" s="294"/>
      <c r="N108" s="296">
        <f>((Variables!H193-Variables!H189)/(1-Factores!$C$10)*1/1000*Factores!$Q$10*F108)*I108/12</f>
        <v>5115.7008508732442</v>
      </c>
    </row>
    <row r="109" spans="2:14" x14ac:dyDescent="0.3">
      <c r="B109" s="142" t="s">
        <v>113</v>
      </c>
      <c r="C109" s="142" t="s">
        <v>89</v>
      </c>
      <c r="D109" s="294" t="s">
        <v>79</v>
      </c>
      <c r="E109" s="298" t="s">
        <v>139</v>
      </c>
      <c r="F109" s="295">
        <v>105000</v>
      </c>
      <c r="G109" s="294">
        <v>2016</v>
      </c>
      <c r="H109" s="142" t="s">
        <v>299</v>
      </c>
      <c r="I109" s="142">
        <v>10</v>
      </c>
      <c r="J109" s="299" t="s">
        <v>318</v>
      </c>
      <c r="K109" s="294"/>
      <c r="L109" s="294"/>
      <c r="M109" s="294"/>
      <c r="N109" s="296">
        <f>((Variables!H194-Variables!H189)/(1-Factores!$C$10)*1/1000*Factores!$Q$10*F109)*I109/12</f>
        <v>5875.8121617617007</v>
      </c>
    </row>
    <row r="110" spans="2:14" x14ac:dyDescent="0.3">
      <c r="B110" s="142" t="s">
        <v>113</v>
      </c>
      <c r="C110" s="142" t="s">
        <v>87</v>
      </c>
      <c r="D110" s="294" t="s">
        <v>81</v>
      </c>
      <c r="E110" s="298" t="s">
        <v>139</v>
      </c>
      <c r="F110" s="295">
        <v>130000</v>
      </c>
      <c r="G110" s="294">
        <v>2016</v>
      </c>
      <c r="H110" s="142" t="s">
        <v>297</v>
      </c>
      <c r="I110" s="142">
        <v>9</v>
      </c>
      <c r="J110" s="299" t="s">
        <v>318</v>
      </c>
      <c r="K110" s="294"/>
      <c r="L110" s="294"/>
      <c r="M110" s="294"/>
      <c r="N110" s="296">
        <f>((Variables!H193-Variables!H190)/(1-Factores!$C$10)*1/1000*Factores!$Q$10*F110)*I110/12</f>
        <v>3781.3591675953467</v>
      </c>
    </row>
    <row r="111" spans="2:14" x14ac:dyDescent="0.3">
      <c r="B111" s="142"/>
      <c r="C111" s="142"/>
      <c r="D111" s="294"/>
      <c r="E111" s="298"/>
      <c r="F111" s="295"/>
      <c r="G111" s="294"/>
      <c r="H111" s="142"/>
      <c r="I111" s="142"/>
      <c r="J111" s="299"/>
      <c r="K111" s="294"/>
      <c r="L111" s="294"/>
      <c r="M111" s="294"/>
      <c r="N111" s="296"/>
    </row>
    <row r="112" spans="2:14" x14ac:dyDescent="0.3">
      <c r="B112" s="142"/>
      <c r="C112" s="142"/>
      <c r="D112" s="294"/>
      <c r="E112" s="298"/>
      <c r="F112" s="43"/>
      <c r="G112" s="43"/>
      <c r="H112" s="43"/>
      <c r="I112" s="43"/>
      <c r="J112" s="43"/>
      <c r="K112" s="43"/>
      <c r="L112" s="43"/>
      <c r="M112" s="43"/>
      <c r="N112" s="297"/>
    </row>
    <row r="115" spans="2:13" x14ac:dyDescent="0.3">
      <c r="B115" s="42" t="s">
        <v>265</v>
      </c>
      <c r="C115" s="187" t="s">
        <v>153</v>
      </c>
      <c r="D115" s="188" t="s">
        <v>154</v>
      </c>
    </row>
    <row r="116" spans="2:13" ht="30" x14ac:dyDescent="0.3">
      <c r="B116" s="75" t="s">
        <v>267</v>
      </c>
      <c r="C116" s="73" t="s">
        <v>11</v>
      </c>
      <c r="D116" s="73" t="s">
        <v>11</v>
      </c>
      <c r="E116" s="73" t="s">
        <v>95</v>
      </c>
      <c r="F116" s="73" t="s">
        <v>70</v>
      </c>
      <c r="G116" s="73" t="s">
        <v>296</v>
      </c>
      <c r="H116" s="73" t="s">
        <v>302</v>
      </c>
      <c r="I116" s="73" t="s">
        <v>96</v>
      </c>
      <c r="J116" s="73" t="s">
        <v>97</v>
      </c>
      <c r="K116" s="73" t="s">
        <v>51</v>
      </c>
      <c r="L116" s="73" t="s">
        <v>105</v>
      </c>
      <c r="M116" s="73" t="s">
        <v>275</v>
      </c>
    </row>
    <row r="117" spans="2:13" ht="22.8" x14ac:dyDescent="0.3">
      <c r="B117" s="74" t="s">
        <v>268</v>
      </c>
      <c r="C117" s="74" t="s">
        <v>170</v>
      </c>
      <c r="D117" s="74" t="s">
        <v>98</v>
      </c>
      <c r="E117" s="74" t="s">
        <v>99</v>
      </c>
      <c r="F117" s="74" t="s">
        <v>100</v>
      </c>
      <c r="G117" s="74" t="s">
        <v>316</v>
      </c>
      <c r="H117" s="74" t="s">
        <v>303</v>
      </c>
      <c r="I117" s="74" t="s">
        <v>101</v>
      </c>
      <c r="J117" s="74" t="s">
        <v>102</v>
      </c>
      <c r="K117" s="74" t="s">
        <v>106</v>
      </c>
      <c r="L117" s="74" t="s">
        <v>107</v>
      </c>
      <c r="M117" s="74" t="s">
        <v>291</v>
      </c>
    </row>
    <row r="118" spans="2:13" x14ac:dyDescent="0.3">
      <c r="B118" s="142" t="s">
        <v>121</v>
      </c>
      <c r="C118" s="142" t="s">
        <v>83</v>
      </c>
      <c r="D118" s="142" t="s">
        <v>79</v>
      </c>
      <c r="E118" s="194">
        <v>5</v>
      </c>
      <c r="F118" s="142">
        <v>2014</v>
      </c>
      <c r="G118" s="142" t="s">
        <v>298</v>
      </c>
      <c r="H118" s="142">
        <f>12-9</f>
        <v>3</v>
      </c>
      <c r="I118" s="195">
        <v>43524</v>
      </c>
      <c r="J118" s="142" t="s">
        <v>103</v>
      </c>
      <c r="K118" s="142" t="s">
        <v>108</v>
      </c>
      <c r="L118" s="142" t="s">
        <v>109</v>
      </c>
      <c r="M118" s="304">
        <f>((Variables!I233-Variables!I231)/(1-Factores!C8)*1/1000*Factores!Q8*E118)*H118/12</f>
        <v>1.0053994271435782</v>
      </c>
    </row>
    <row r="119" spans="2:13" x14ac:dyDescent="0.3">
      <c r="B119" s="142"/>
      <c r="C119" s="142"/>
      <c r="D119" s="294"/>
      <c r="E119" s="43"/>
      <c r="F119" s="43"/>
      <c r="G119" s="43"/>
      <c r="H119" s="43"/>
      <c r="I119" s="43"/>
      <c r="J119" s="43"/>
      <c r="K119" s="43"/>
      <c r="L119" s="43"/>
      <c r="M119" s="43"/>
    </row>
    <row r="120" spans="2:13" x14ac:dyDescent="0.3">
      <c r="B120" s="142" t="s">
        <v>119</v>
      </c>
      <c r="C120" s="142" t="s">
        <v>83</v>
      </c>
      <c r="D120" s="294" t="s">
        <v>79</v>
      </c>
      <c r="E120" s="151">
        <v>20000</v>
      </c>
      <c r="F120" s="43">
        <v>2013</v>
      </c>
      <c r="G120" s="142" t="s">
        <v>299</v>
      </c>
      <c r="H120" s="142">
        <v>10</v>
      </c>
      <c r="I120" s="43"/>
      <c r="J120" s="43"/>
      <c r="K120" s="43"/>
      <c r="L120" s="43"/>
      <c r="M120" s="284">
        <f>((Variables!I224-Variables!I222)/(1-Factores!C7)*1/1000*Factores!Q7*E120)*H120/12</f>
        <v>2873.6248541966529</v>
      </c>
    </row>
    <row r="121" spans="2:13" x14ac:dyDescent="0.3">
      <c r="B121" s="142" t="s">
        <v>120</v>
      </c>
      <c r="C121" s="142" t="s">
        <v>83</v>
      </c>
      <c r="D121" s="294" t="s">
        <v>79</v>
      </c>
      <c r="E121" s="151">
        <v>15000</v>
      </c>
      <c r="F121" s="43">
        <v>2013</v>
      </c>
      <c r="G121" s="142" t="s">
        <v>297</v>
      </c>
      <c r="H121" s="142">
        <v>9</v>
      </c>
      <c r="I121" s="43"/>
      <c r="J121" s="43"/>
      <c r="K121" s="43"/>
      <c r="L121" s="43"/>
      <c r="M121" s="284">
        <f>((Variables!I227-Variables!I225)/(1-Factores!C7)*1/1000*Factores!Q7*E121)*H121/12</f>
        <v>2446.580905333341</v>
      </c>
    </row>
    <row r="122" spans="2:13" x14ac:dyDescent="0.3">
      <c r="B122" s="142" t="s">
        <v>121</v>
      </c>
      <c r="C122" s="142" t="s">
        <v>83</v>
      </c>
      <c r="D122" s="294" t="s">
        <v>79</v>
      </c>
      <c r="E122" s="151">
        <v>12000</v>
      </c>
      <c r="F122" s="43">
        <v>2013</v>
      </c>
      <c r="G122" s="142" t="s">
        <v>299</v>
      </c>
      <c r="H122" s="142">
        <v>10</v>
      </c>
      <c r="I122" s="43"/>
      <c r="J122" s="43"/>
      <c r="K122" s="43"/>
      <c r="L122" s="43"/>
      <c r="M122" s="284">
        <f>((Variables!I230-Variables!I228)/(1-Factores!C7)*1/1000*Factores!Q7*E122)*H122/12</f>
        <v>4534.4157048633033</v>
      </c>
    </row>
    <row r="123" spans="2:13" x14ac:dyDescent="0.3">
      <c r="B123" s="142" t="s">
        <v>122</v>
      </c>
      <c r="C123" s="142" t="s">
        <v>83</v>
      </c>
      <c r="D123" s="294" t="s">
        <v>79</v>
      </c>
      <c r="E123" s="151">
        <v>11000</v>
      </c>
      <c r="F123" s="43">
        <v>2013</v>
      </c>
      <c r="G123" s="142" t="s">
        <v>297</v>
      </c>
      <c r="H123" s="142">
        <v>9</v>
      </c>
      <c r="I123" s="43"/>
      <c r="J123" s="43"/>
      <c r="K123" s="43"/>
      <c r="L123" s="43"/>
      <c r="M123" s="284">
        <f>((Variables!I233-Variables!I231)/(1-Factores!C7)*1/1000*Factores!Q7*E123)*H123/12</f>
        <v>6620.7414128195624</v>
      </c>
    </row>
    <row r="124" spans="2:13" x14ac:dyDescent="0.3">
      <c r="B124" s="142" t="s">
        <v>123</v>
      </c>
      <c r="C124" s="142" t="s">
        <v>83</v>
      </c>
      <c r="D124" s="294" t="s">
        <v>79</v>
      </c>
      <c r="E124" s="151">
        <v>5000</v>
      </c>
      <c r="F124" s="43">
        <v>2014</v>
      </c>
      <c r="G124" s="142" t="s">
        <v>299</v>
      </c>
      <c r="H124" s="142">
        <v>10</v>
      </c>
      <c r="I124" s="43"/>
      <c r="J124" s="43"/>
      <c r="K124" s="43"/>
      <c r="L124" s="43"/>
      <c r="M124" s="284">
        <f>((Variables!I236-Variables!I234)/(1-Factores!C8)*1/1000*Factores!Q8*E124)*H124/12</f>
        <v>5857.6410030574361</v>
      </c>
    </row>
    <row r="125" spans="2:13" x14ac:dyDescent="0.3">
      <c r="B125" s="142" t="s">
        <v>319</v>
      </c>
      <c r="C125" s="142" t="s">
        <v>81</v>
      </c>
      <c r="D125" s="294" t="s">
        <v>79</v>
      </c>
      <c r="E125" s="151">
        <v>4000</v>
      </c>
      <c r="F125" s="43">
        <v>2014</v>
      </c>
      <c r="G125" s="142" t="s">
        <v>297</v>
      </c>
      <c r="H125" s="142">
        <v>9</v>
      </c>
      <c r="I125" s="43"/>
      <c r="J125" s="43"/>
      <c r="K125" s="43"/>
      <c r="L125" s="43"/>
      <c r="M125" s="284">
        <f>((Variables!I238-Variables!I237)/(1-Factores!C8)*1/1000*Factores!Q8*E125)*H125/12</f>
        <v>3198.0216821049175</v>
      </c>
    </row>
    <row r="126" spans="2:13" x14ac:dyDescent="0.3">
      <c r="B126" s="142"/>
      <c r="C126" s="142"/>
      <c r="D126" s="294"/>
      <c r="E126" s="43"/>
      <c r="F126" s="43"/>
      <c r="G126" s="43"/>
      <c r="H126" s="43"/>
      <c r="I126" s="43"/>
      <c r="J126" s="43"/>
      <c r="K126" s="43"/>
      <c r="L126" s="43"/>
      <c r="M126" s="304">
        <f>((Variables!I241-Variables!I239)/(1-Factores!C16)*1/1000*Factores!Q16*E126)*H126/12</f>
        <v>0</v>
      </c>
    </row>
  </sheetData>
  <mergeCells count="7">
    <mergeCell ref="M65:M68"/>
    <mergeCell ref="C28:D28"/>
    <mergeCell ref="E28:F28"/>
    <mergeCell ref="B40:C40"/>
    <mergeCell ref="D40:E40"/>
    <mergeCell ref="C53:D53"/>
    <mergeCell ref="E53:F53"/>
  </mergeCells>
  <phoneticPr fontId="50" type="noConversion"/>
  <dataValidations count="3">
    <dataValidation type="list" allowBlank="1" showInputMessage="1" showErrorMessage="1" sqref="F52 F38:F39" xr:uid="{00000000-0002-0000-0200-000000000000}">
      <formula1>$B$76:$B$78</formula1>
    </dataValidation>
    <dataValidation type="list" allowBlank="1" showInputMessage="1" showErrorMessage="1" sqref="E52 E38:E39 D43:D50" xr:uid="{00000000-0002-0000-0200-000001000000}">
      <formula1>$D$31:$D$64</formula1>
    </dataValidation>
    <dataValidation type="list" allowBlank="1" showInputMessage="1" showErrorMessage="1" sqref="E43:E51 C43:C51 F31:F37" xr:uid="{00000000-0002-0000-0200-000002000000}">
      <formula1>$B$86:$B$88</formula1>
    </dataValidation>
  </dataValidations>
  <pageMargins left="0.7" right="0.7" top="0.75" bottom="0.75" header="0.3" footer="0.3"/>
  <pageSetup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1" showInputMessage="1" showErrorMessage="1" xr:uid="{00000000-0002-0000-0200-000003000000}">
          <x14:formula1>
            <xm:f>Variables!$F$12:$F$18</xm:f>
          </x14:formula1>
          <xm:sqref>D6:E12 C31:C37 E31:E37 D51 C56:C63 E56:E63 D17:E26</xm:sqref>
        </x14:dataValidation>
        <x14:dataValidation type="list" allowBlank="1" showInputMessage="1" showErrorMessage="1" xr:uid="{00000000-0002-0000-0200-000004000000}">
          <x14:formula1>
            <xm:f>Variables!$D$182</xm:f>
          </x14:formula1>
          <xm:sqref>B102:B112</xm:sqref>
        </x14:dataValidation>
        <x14:dataValidation type="list" allowBlank="1" showInputMessage="1" showErrorMessage="1" xr:uid="{00000000-0002-0000-0200-000005000000}">
          <x14:formula1>
            <xm:f>Variables!$F$182:$F$188</xm:f>
          </x14:formula1>
          <xm:sqref>C102:D112</xm:sqref>
        </x14:dataValidation>
        <x14:dataValidation type="list" allowBlank="1" showInputMessage="1" showErrorMessage="1" xr:uid="{00000000-0002-0000-0200-000006000000}">
          <x14:formula1>
            <xm:f>Variables!$J$181:$N$181</xm:f>
          </x14:formula1>
          <xm:sqref>E102:E112</xm:sqref>
        </x14:dataValidation>
        <x14:dataValidation type="list" allowBlank="1" showInputMessage="1" showErrorMessage="1" xr:uid="{00000000-0002-0000-0200-000007000000}">
          <x14:formula1>
            <xm:f>Variables!$H$114:$L$114</xm:f>
          </x14:formula1>
          <xm:sqref>B78:B84</xm:sqref>
        </x14:dataValidation>
        <x14:dataValidation type="list" allowBlank="1" showInputMessage="1" showErrorMessage="1" xr:uid="{00000000-0002-0000-0200-000008000000}">
          <x14:formula1>
            <xm:f>Variables!$D$114:$D$120</xm:f>
          </x14:formula1>
          <xm:sqref>C78:D83</xm:sqref>
        </x14:dataValidation>
        <x14:dataValidation type="list" allowBlank="1" showInputMessage="1" showErrorMessage="1" xr:uid="{00000000-0002-0000-0200-000009000000}">
          <x14:formula1>
            <xm:f>Variables!$D$87:$D$93</xm:f>
          </x14:formula1>
          <xm:sqref>B43:B51</xm:sqref>
        </x14:dataValidation>
        <x14:dataValidation type="list" allowBlank="1" showInputMessage="1" showErrorMessage="1" xr:uid="{00000000-0002-0000-0200-00000A000000}">
          <x14:formula1>
            <xm:f>Variables!$K$222:$O$222</xm:f>
          </x14:formula1>
          <xm:sqref>B118:B124 B126</xm:sqref>
        </x14:dataValidation>
        <x14:dataValidation type="list" allowBlank="1" showInputMessage="1" showErrorMessage="1" xr:uid="{00000000-0002-0000-0200-00000B000000}">
          <x14:formula1>
            <xm:f>Variables!$D$222:$D$224</xm:f>
          </x14:formula1>
          <xm:sqref>C118:D126</xm:sqref>
        </x14:dataValidation>
        <x14:dataValidation type="list" allowBlank="1" showInputMessage="1" showErrorMessage="1" xr:uid="{00000000-0002-0000-0200-00000C000000}">
          <x14:formula1>
            <xm:f>Variables!$B$87:$B$89</xm:f>
          </x14:formula1>
          <xm:sqref>D31:D37</xm:sqref>
        </x14:dataValidation>
        <x14:dataValidation type="list" allowBlank="1" showInputMessage="1" showErrorMessage="1" xr:uid="{00000000-0002-0000-0200-00000D000000}">
          <x14:formula1>
            <xm:f>Variables!#REF!</xm:f>
          </x14:formula1>
          <xm:sqref>B17:B18</xm:sqref>
        </x14:dataValidation>
        <x14:dataValidation type="list" allowBlank="1" showInputMessage="1" showErrorMessage="1" xr:uid="{00000000-0002-0000-0200-00000E000000}">
          <x14:formula1>
            <xm:f>Variables!$B$93:$B$95</xm:f>
          </x14:formula1>
          <xm:sqref>B31:B37</xm:sqref>
        </x14:dataValidation>
        <x14:dataValidation type="list" allowBlank="1" showInputMessage="1" showErrorMessage="1" xr:uid="{00000000-0002-0000-0200-00000F000000}">
          <x14:formula1>
            <xm:f>Variables!$K$93:$K$94</xm:f>
          </x14:formula1>
          <xm:sqref>B56:B63</xm:sqref>
        </x14:dataValidation>
        <x14:dataValidation type="list" allowBlank="1" showInputMessage="1" showErrorMessage="1" xr:uid="{00000000-0002-0000-0200-000010000000}">
          <x14:formula1>
            <xm:f>Variables!$H$155:$J$155</xm:f>
          </x14:formula1>
          <xm:sqref>B89:B96</xm:sqref>
        </x14:dataValidation>
        <x14:dataValidation type="list" allowBlank="1" showInputMessage="1" showErrorMessage="1" xr:uid="{00000000-0002-0000-0200-000011000000}">
          <x14:formula1>
            <xm:f>Variables!$D$155:$D$161</xm:f>
          </x14:formula1>
          <xm:sqref>C89:D96</xm:sqref>
        </x14:dataValidation>
        <x14:dataValidation type="list" allowBlank="1" showInputMessage="1" showErrorMessage="1" xr:uid="{00000000-0002-0000-0200-000012000000}">
          <x14:formula1>
            <xm:f>Variables!$B$46:$B$48</xm:f>
          </x14:formula1>
          <xm:sqref>C17:C26</xm:sqref>
        </x14:dataValidation>
        <x14:dataValidation type="list" allowBlank="1" showInputMessage="1" showErrorMessage="1" xr:uid="{00000000-0002-0000-0200-000014000000}">
          <x14:formula1>
            <xm:f>Variables!$B$12:$B$18</xm:f>
          </x14:formula1>
          <xm:sqref>C6:C12</xm:sqref>
        </x14:dataValidation>
        <x14:dataValidation type="list" allowBlank="1" showInputMessage="1" showErrorMessage="1" xr:uid="{00000000-0002-0000-0200-000015000000}">
          <x14:formula1>
            <xm:f>Variables!$B$21:$B$24</xm:f>
          </x14:formula1>
          <xm:sqref>B6:B12</xm:sqref>
        </x14:dataValidation>
        <x14:dataValidation type="list" allowBlank="1" showInputMessage="1" showErrorMessage="1" xr:uid="{E8360DA5-FEED-4030-9C1E-2086EC8C7AF9}">
          <x14:formula1>
            <xm:f>Factores!$F$28:$F$29</xm:f>
          </x14:formula1>
          <xm:sqref>D56:D63 F56:F63</xm:sqref>
        </x14:dataValidation>
        <x14:dataValidation type="list" allowBlank="1" showInputMessage="1" showErrorMessage="1" xr:uid="{D70F283C-A8B5-42B8-8996-5449002AB8E0}">
          <x14:formula1>
            <xm:f>Variables!$B$50:$B$54</xm:f>
          </x14:formula1>
          <xm:sqref>B19:B26</xm:sqref>
        </x14:dataValidation>
        <x14:dataValidation type="list" allowBlank="1" showInputMessage="1" showErrorMessage="1" xr:uid="{F0BEE757-8192-4540-99C9-180905CF059C}">
          <x14:formula1>
            <xm:f>Variables!$K$222:$P$222</xm:f>
          </x14:formula1>
          <xm:sqref>B125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Y305"/>
  <sheetViews>
    <sheetView topLeftCell="A221" workbookViewId="0">
      <selection activeCell="K230" sqref="K230:K233"/>
    </sheetView>
  </sheetViews>
  <sheetFormatPr baseColWidth="10" defaultColWidth="11.44140625" defaultRowHeight="14.4" x14ac:dyDescent="0.3"/>
  <cols>
    <col min="1" max="1" width="2" style="1" customWidth="1"/>
    <col min="2" max="2" width="24.33203125" style="1" customWidth="1"/>
    <col min="3" max="3" width="2.33203125" style="1" customWidth="1"/>
    <col min="4" max="4" width="18.6640625" style="1" customWidth="1"/>
    <col min="5" max="5" width="15.44140625" style="1" customWidth="1"/>
    <col min="6" max="6" width="14.88671875" style="1" customWidth="1"/>
    <col min="7" max="7" width="15.5546875" style="1" bestFit="1" customWidth="1"/>
    <col min="8" max="8" width="16.109375" style="1" customWidth="1"/>
    <col min="9" max="9" width="12.44140625" style="1" customWidth="1"/>
    <col min="10" max="10" width="16.44140625" style="1" bestFit="1" customWidth="1"/>
    <col min="11" max="11" width="16.6640625" style="1" bestFit="1" customWidth="1"/>
    <col min="12" max="12" width="11.88671875" style="1" bestFit="1" customWidth="1"/>
    <col min="13" max="13" width="14.44140625" style="1" bestFit="1" customWidth="1"/>
    <col min="14" max="14" width="15.44140625" style="1" customWidth="1"/>
    <col min="15" max="15" width="16.44140625" style="1" customWidth="1"/>
    <col min="16" max="16" width="16.88671875" style="1" customWidth="1"/>
    <col min="17" max="17" width="11.88671875" style="1" customWidth="1"/>
    <col min="18" max="18" width="28.44140625" style="1" customWidth="1"/>
    <col min="19" max="19" width="17.109375" style="1" customWidth="1"/>
    <col min="20" max="20" width="12.5546875" style="1" customWidth="1"/>
    <col min="21" max="21" width="10" style="1" bestFit="1" customWidth="1"/>
    <col min="22" max="22" width="21.33203125" style="1" bestFit="1" customWidth="1"/>
    <col min="23" max="24" width="11.44140625" style="1"/>
    <col min="25" max="25" width="15.33203125" style="1" customWidth="1"/>
    <col min="26" max="26" width="16.5546875" style="1" customWidth="1"/>
    <col min="27" max="27" width="11.44140625" style="1"/>
    <col min="28" max="28" width="12.88671875" style="1" customWidth="1"/>
    <col min="29" max="29" width="14.6640625" style="1" customWidth="1"/>
    <col min="30" max="31" width="14.33203125" style="1" bestFit="1" customWidth="1"/>
    <col min="32" max="32" width="11.44140625" style="1"/>
    <col min="33" max="33" width="24.44140625" style="1" customWidth="1"/>
    <col min="34" max="34" width="22" style="1" customWidth="1"/>
    <col min="35" max="41" width="11.44140625" style="1"/>
    <col min="42" max="42" width="14.33203125" style="1" customWidth="1"/>
    <col min="43" max="43" width="12.88671875" style="1" customWidth="1"/>
    <col min="44" max="44" width="9.88671875" style="1" bestFit="1" customWidth="1"/>
    <col min="45" max="45" width="12.5546875" style="1" customWidth="1"/>
    <col min="46" max="46" width="11.44140625" style="1"/>
    <col min="47" max="47" width="14.88671875" style="1" customWidth="1"/>
    <col min="48" max="49" width="11.44140625" style="1"/>
    <col min="50" max="50" width="21.6640625" style="1" customWidth="1"/>
    <col min="51" max="57" width="11.44140625" style="1"/>
    <col min="58" max="58" width="15.33203125" style="1" customWidth="1"/>
    <col min="59" max="60" width="11.44140625" style="1"/>
    <col min="61" max="61" width="12" style="1" bestFit="1" customWidth="1"/>
    <col min="62" max="62" width="11.44140625" style="1"/>
    <col min="63" max="63" width="14.33203125" style="1" bestFit="1" customWidth="1"/>
    <col min="64" max="65" width="11.44140625" style="1"/>
    <col min="66" max="66" width="23.44140625" style="1" customWidth="1"/>
    <col min="67" max="73" width="11.44140625" style="1"/>
    <col min="74" max="74" width="16.5546875" style="1" customWidth="1"/>
    <col min="75" max="76" width="11.44140625" style="1"/>
    <col min="77" max="77" width="12" style="1" bestFit="1" customWidth="1"/>
    <col min="78" max="78" width="11.44140625" style="1"/>
    <col min="79" max="79" width="14.33203125" style="1" bestFit="1" customWidth="1"/>
    <col min="80" max="81" width="11.44140625" style="1"/>
    <col min="82" max="82" width="22.6640625" style="1" customWidth="1"/>
    <col min="83" max="89" width="11.44140625" style="1"/>
    <col min="90" max="90" width="15.6640625" style="1" customWidth="1"/>
    <col min="91" max="94" width="11.44140625" style="1"/>
    <col min="95" max="95" width="14.33203125" style="1" bestFit="1" customWidth="1"/>
    <col min="96" max="97" width="11.44140625" style="1"/>
    <col min="98" max="98" width="22" style="1" customWidth="1"/>
    <col min="99" max="102" width="11.44140625" style="1"/>
    <col min="103" max="104" width="11.88671875" style="1" customWidth="1"/>
    <col min="105" max="105" width="11.44140625" style="1"/>
    <col min="106" max="106" width="14.44140625" style="1" bestFit="1" customWidth="1"/>
    <col min="107" max="108" width="11.44140625" style="1"/>
    <col min="109" max="109" width="12.33203125" style="1" customWidth="1"/>
    <col min="110" max="110" width="11.44140625" style="1"/>
    <col min="111" max="111" width="14.33203125" style="1" bestFit="1" customWidth="1"/>
    <col min="112" max="113" width="11.44140625" style="1"/>
    <col min="114" max="114" width="24" style="1" customWidth="1"/>
    <col min="115" max="121" width="11.44140625" style="1"/>
    <col min="122" max="122" width="14.44140625" style="1" bestFit="1" customWidth="1"/>
    <col min="123" max="124" width="11.44140625" style="1"/>
    <col min="125" max="125" width="12" style="1" bestFit="1" customWidth="1"/>
    <col min="126" max="126" width="11.44140625" style="1"/>
    <col min="127" max="127" width="14.33203125" style="1" bestFit="1" customWidth="1"/>
    <col min="128" max="129" width="11.44140625" style="1"/>
    <col min="130" max="130" width="12.44140625" style="1" customWidth="1"/>
    <col min="131" max="137" width="11.44140625" style="1"/>
    <col min="138" max="138" width="14.44140625" style="1" bestFit="1" customWidth="1"/>
    <col min="139" max="140" width="11.44140625" style="1"/>
    <col min="141" max="141" width="12" style="1" bestFit="1" customWidth="1"/>
    <col min="142" max="142" width="11.44140625" style="1"/>
    <col min="143" max="143" width="14.33203125" style="1" bestFit="1" customWidth="1"/>
    <col min="144" max="145" width="11.44140625" style="1"/>
    <col min="146" max="146" width="13.33203125" style="1" customWidth="1"/>
    <col min="147" max="147" width="11.44140625" style="1"/>
    <col min="148" max="148" width="11.6640625" style="1" bestFit="1" customWidth="1"/>
    <col min="149" max="151" width="11.44140625" style="1"/>
    <col min="152" max="152" width="10.5546875" style="1" bestFit="1" customWidth="1"/>
    <col min="153" max="153" width="11.44140625" style="1"/>
    <col min="154" max="154" width="14.44140625" style="1" bestFit="1" customWidth="1"/>
    <col min="155" max="156" width="11.44140625" style="1"/>
    <col min="157" max="157" width="12" style="1" bestFit="1" customWidth="1"/>
    <col min="158" max="158" width="11.44140625" style="1"/>
    <col min="159" max="159" width="14.33203125" style="1" bestFit="1" customWidth="1"/>
    <col min="160" max="161" width="11.44140625" style="1"/>
    <col min="162" max="162" width="14" style="1" customWidth="1"/>
    <col min="163" max="16384" width="11.44140625" style="1"/>
  </cols>
  <sheetData>
    <row r="1" spans="2:44" hidden="1" x14ac:dyDescent="0.3">
      <c r="E1" s="149">
        <v>9</v>
      </c>
      <c r="F1" s="149">
        <v>10</v>
      </c>
      <c r="G1" s="149">
        <v>11</v>
      </c>
      <c r="H1" s="149">
        <v>15</v>
      </c>
      <c r="I1" s="149">
        <v>18</v>
      </c>
      <c r="J1" s="149">
        <v>20</v>
      </c>
      <c r="K1" s="149">
        <v>23</v>
      </c>
      <c r="L1" s="149">
        <v>25</v>
      </c>
      <c r="M1" s="149">
        <v>36</v>
      </c>
      <c r="N1" s="149">
        <v>40</v>
      </c>
      <c r="O1" s="149">
        <v>60</v>
      </c>
      <c r="P1" s="149">
        <v>80</v>
      </c>
      <c r="Q1" s="149">
        <v>100</v>
      </c>
      <c r="R1" s="149">
        <v>150</v>
      </c>
      <c r="S1" s="149">
        <v>200</v>
      </c>
    </row>
    <row r="2" spans="2:44" hidden="1" x14ac:dyDescent="0.3">
      <c r="D2" s="42" t="s">
        <v>157</v>
      </c>
    </row>
    <row r="3" spans="2:44" ht="28.8" hidden="1" x14ac:dyDescent="0.3">
      <c r="D3" s="145" t="s">
        <v>52</v>
      </c>
      <c r="E3" s="360" t="s">
        <v>158</v>
      </c>
      <c r="F3" s="360"/>
      <c r="G3" s="360"/>
      <c r="H3" s="360"/>
      <c r="I3" s="360"/>
      <c r="J3" s="360"/>
      <c r="K3" s="360"/>
      <c r="L3" s="360"/>
      <c r="M3" s="360"/>
      <c r="N3" s="360"/>
      <c r="P3" s="147" t="s">
        <v>164</v>
      </c>
      <c r="Q3" s="147" t="s">
        <v>163</v>
      </c>
      <c r="R3" s="147" t="s">
        <v>165</v>
      </c>
    </row>
    <row r="4" spans="2:44" hidden="1" x14ac:dyDescent="0.3">
      <c r="D4" s="43" t="s">
        <v>159</v>
      </c>
      <c r="E4" s="135">
        <v>15</v>
      </c>
      <c r="F4" s="135">
        <v>25</v>
      </c>
      <c r="G4" s="135">
        <v>40</v>
      </c>
      <c r="H4" s="135">
        <v>60</v>
      </c>
      <c r="I4" s="135">
        <v>100</v>
      </c>
      <c r="J4" s="135">
        <v>150</v>
      </c>
      <c r="K4" s="135">
        <v>200</v>
      </c>
      <c r="L4" s="146"/>
      <c r="M4" s="146"/>
      <c r="N4" s="146"/>
      <c r="P4" s="43" t="s">
        <v>166</v>
      </c>
      <c r="Q4" s="43">
        <v>3.5</v>
      </c>
      <c r="R4" s="151">
        <f>Q4*365</f>
        <v>1277.5</v>
      </c>
    </row>
    <row r="5" spans="2:44" hidden="1" x14ac:dyDescent="0.3">
      <c r="D5" s="43" t="s">
        <v>160</v>
      </c>
      <c r="E5" s="135">
        <v>10</v>
      </c>
      <c r="F5" s="135">
        <v>18</v>
      </c>
      <c r="G5" s="135">
        <v>36</v>
      </c>
      <c r="H5" s="135">
        <v>60</v>
      </c>
      <c r="I5" s="135">
        <v>80</v>
      </c>
      <c r="J5" s="135">
        <v>100</v>
      </c>
      <c r="K5" s="146"/>
      <c r="L5" s="146"/>
      <c r="M5" s="146"/>
      <c r="N5" s="146"/>
      <c r="P5" s="43" t="s">
        <v>167</v>
      </c>
      <c r="Q5" s="43">
        <v>8</v>
      </c>
      <c r="R5" s="151">
        <f>12*22*Q5</f>
        <v>2112</v>
      </c>
    </row>
    <row r="6" spans="2:44" hidden="1" x14ac:dyDescent="0.3">
      <c r="D6" s="43" t="s">
        <v>161</v>
      </c>
      <c r="E6" s="135">
        <v>9</v>
      </c>
      <c r="F6" s="135">
        <v>11</v>
      </c>
      <c r="G6" s="135">
        <v>15</v>
      </c>
      <c r="H6" s="135">
        <v>20</v>
      </c>
      <c r="I6" s="135">
        <v>23</v>
      </c>
      <c r="J6" s="135">
        <v>30</v>
      </c>
      <c r="K6" s="146"/>
      <c r="L6" s="146"/>
      <c r="M6" s="146"/>
      <c r="N6" s="146"/>
      <c r="P6" s="43" t="s">
        <v>168</v>
      </c>
      <c r="Q6" s="43">
        <v>8</v>
      </c>
      <c r="R6" s="151">
        <f t="shared" ref="R6:R8" si="0">12*22*Q6</f>
        <v>2112</v>
      </c>
    </row>
    <row r="7" spans="2:44" hidden="1" x14ac:dyDescent="0.3">
      <c r="D7" s="129" t="s">
        <v>162</v>
      </c>
      <c r="E7" s="135">
        <v>3</v>
      </c>
      <c r="F7" s="135">
        <v>4</v>
      </c>
      <c r="G7" s="135">
        <v>6</v>
      </c>
      <c r="H7" s="135">
        <v>9</v>
      </c>
      <c r="I7" s="135">
        <v>11</v>
      </c>
      <c r="J7" s="135">
        <v>16</v>
      </c>
      <c r="K7" s="135">
        <v>20</v>
      </c>
      <c r="L7" s="135">
        <v>25</v>
      </c>
      <c r="M7" s="135">
        <v>35</v>
      </c>
      <c r="N7" s="135">
        <v>60</v>
      </c>
      <c r="P7" s="43" t="s">
        <v>169</v>
      </c>
      <c r="Q7" s="43">
        <v>8</v>
      </c>
      <c r="R7" s="151">
        <f>12*22*Q7</f>
        <v>2112</v>
      </c>
    </row>
    <row r="8" spans="2:44" hidden="1" x14ac:dyDescent="0.3">
      <c r="D8" s="43" t="s">
        <v>11</v>
      </c>
      <c r="E8" s="135"/>
      <c r="F8" s="135"/>
      <c r="G8" s="135"/>
      <c r="H8" s="135"/>
      <c r="I8" s="135"/>
      <c r="J8" s="135"/>
      <c r="K8" s="135"/>
      <c r="L8" s="135"/>
      <c r="M8" s="135"/>
      <c r="N8" s="135"/>
      <c r="R8" s="43">
        <f t="shared" si="0"/>
        <v>0</v>
      </c>
    </row>
    <row r="9" spans="2:44" hidden="1" x14ac:dyDescent="0.3"/>
    <row r="10" spans="2:44" s="201" customFormat="1" ht="15" thickBot="1" x14ac:dyDescent="0.35">
      <c r="D10" s="202" t="s">
        <v>111</v>
      </c>
    </row>
    <row r="11" spans="2:44" ht="29.4" thickBot="1" x14ac:dyDescent="0.35">
      <c r="B11" s="176" t="s">
        <v>203</v>
      </c>
      <c r="D11" s="130" t="s">
        <v>52</v>
      </c>
      <c r="E11" s="131" t="s">
        <v>75</v>
      </c>
      <c r="F11" s="131" t="s">
        <v>11</v>
      </c>
      <c r="G11" s="132" t="s">
        <v>76</v>
      </c>
      <c r="H11" s="46"/>
      <c r="J11" s="162" t="s">
        <v>52</v>
      </c>
      <c r="K11" s="163" t="s">
        <v>75</v>
      </c>
      <c r="L11" s="163" t="s">
        <v>11</v>
      </c>
      <c r="M11" s="164" t="s">
        <v>76</v>
      </c>
      <c r="N11" s="46"/>
      <c r="P11" s="159" t="s">
        <v>52</v>
      </c>
      <c r="Q11" s="160" t="s">
        <v>75</v>
      </c>
      <c r="R11" s="160" t="s">
        <v>11</v>
      </c>
      <c r="S11" s="161" t="s">
        <v>76</v>
      </c>
      <c r="T11" s="46"/>
      <c r="V11" s="171" t="s">
        <v>52</v>
      </c>
      <c r="W11" s="172" t="s">
        <v>75</v>
      </c>
      <c r="X11" s="172" t="s">
        <v>11</v>
      </c>
      <c r="Y11" s="173" t="s">
        <v>76</v>
      </c>
      <c r="Z11" s="46"/>
      <c r="AB11" s="159" t="s">
        <v>52</v>
      </c>
      <c r="AC11" s="160" t="s">
        <v>75</v>
      </c>
      <c r="AD11" s="160" t="s">
        <v>11</v>
      </c>
      <c r="AE11" s="161" t="s">
        <v>76</v>
      </c>
      <c r="AF11" s="46"/>
      <c r="AH11" s="156" t="s">
        <v>52</v>
      </c>
      <c r="AI11" s="157" t="s">
        <v>75</v>
      </c>
      <c r="AJ11" s="157" t="s">
        <v>11</v>
      </c>
      <c r="AK11" s="158" t="s">
        <v>76</v>
      </c>
      <c r="AL11" s="46"/>
      <c r="AN11" s="165" t="s">
        <v>52</v>
      </c>
      <c r="AO11" s="166" t="s">
        <v>75</v>
      </c>
      <c r="AP11" s="166" t="s">
        <v>11</v>
      </c>
      <c r="AQ11" s="167" t="s">
        <v>76</v>
      </c>
      <c r="AR11" s="46"/>
    </row>
    <row r="12" spans="2:44" ht="17.25" customHeight="1" x14ac:dyDescent="0.3">
      <c r="B12" s="193" t="s">
        <v>78</v>
      </c>
      <c r="D12" s="128" t="s">
        <v>78</v>
      </c>
      <c r="E12" s="88">
        <v>120</v>
      </c>
      <c r="F12" s="88" t="s">
        <v>79</v>
      </c>
      <c r="G12" s="204">
        <f>[1]Resumen!$D$4</f>
        <v>184.39431999999999</v>
      </c>
      <c r="H12" s="50"/>
      <c r="J12" s="48" t="s">
        <v>187</v>
      </c>
      <c r="K12" s="49">
        <v>120</v>
      </c>
      <c r="L12" s="49" t="s">
        <v>79</v>
      </c>
      <c r="M12" s="214">
        <f>[1]Resumen!$D$8</f>
        <v>176.64380800000004</v>
      </c>
      <c r="N12" s="50"/>
      <c r="P12" s="128" t="s">
        <v>189</v>
      </c>
      <c r="Q12" s="88">
        <v>120</v>
      </c>
      <c r="R12" s="88" t="s">
        <v>79</v>
      </c>
      <c r="S12" s="214">
        <f>[1]Resumen!$D$12</f>
        <v>189.93039999999996</v>
      </c>
      <c r="T12" s="50"/>
      <c r="V12" s="128" t="s">
        <v>191</v>
      </c>
      <c r="W12" s="88">
        <v>120</v>
      </c>
      <c r="X12" s="88" t="s">
        <v>79</v>
      </c>
      <c r="Y12" s="214">
        <f>[1]Resumen!$D$16</f>
        <v>227.27161599999999</v>
      </c>
      <c r="Z12" s="50"/>
      <c r="AB12" s="128" t="s">
        <v>193</v>
      </c>
      <c r="AC12" s="88">
        <v>120</v>
      </c>
      <c r="AD12" s="88" t="s">
        <v>79</v>
      </c>
      <c r="AE12" s="214">
        <f>[1]Resumen!$D$20</f>
        <v>241.37079999999997</v>
      </c>
      <c r="AF12" s="50"/>
      <c r="AH12" s="128" t="s">
        <v>194</v>
      </c>
      <c r="AI12" s="88">
        <v>120</v>
      </c>
      <c r="AJ12" s="88" t="s">
        <v>79</v>
      </c>
      <c r="AK12" s="214">
        <f>[1]Resumen!$D$24</f>
        <v>352.91907199999991</v>
      </c>
      <c r="AL12" s="50"/>
      <c r="AN12" s="128" t="s">
        <v>197</v>
      </c>
      <c r="AO12" s="88">
        <v>120</v>
      </c>
      <c r="AP12" s="88" t="s">
        <v>79</v>
      </c>
      <c r="AQ12" s="214">
        <f>[1]Resumen!$D$28</f>
        <v>286.45759999999996</v>
      </c>
      <c r="AR12" s="50"/>
    </row>
    <row r="13" spans="2:44" x14ac:dyDescent="0.3">
      <c r="B13" s="174" t="s">
        <v>187</v>
      </c>
      <c r="D13" s="55" t="s">
        <v>78</v>
      </c>
      <c r="E13" s="56">
        <f>+E12</f>
        <v>120</v>
      </c>
      <c r="F13" s="56" t="s">
        <v>81</v>
      </c>
      <c r="G13" s="206">
        <f>[1]Resumen!$E$4</f>
        <v>217.92055999999999</v>
      </c>
      <c r="H13" s="57">
        <f>G13/G12-1</f>
        <v>0.18181818181818188</v>
      </c>
      <c r="J13" s="55" t="s">
        <v>187</v>
      </c>
      <c r="K13" s="257">
        <f>+K12</f>
        <v>120</v>
      </c>
      <c r="L13" s="189" t="s">
        <v>81</v>
      </c>
      <c r="M13" s="215">
        <f>[1]Resumen!$E$8</f>
        <v>208.760864</v>
      </c>
      <c r="N13" s="57">
        <f>M13/M12-1</f>
        <v>0.18181818181818166</v>
      </c>
      <c r="P13" s="55" t="s">
        <v>189</v>
      </c>
      <c r="Q13" s="257">
        <f>+Q12</f>
        <v>120</v>
      </c>
      <c r="R13" s="155" t="s">
        <v>81</v>
      </c>
      <c r="S13" s="215">
        <f>[1]Resumen!$E$12</f>
        <v>224.4632</v>
      </c>
      <c r="T13" s="57">
        <f>S13/S12-1</f>
        <v>0.1818181818181821</v>
      </c>
      <c r="V13" s="55" t="s">
        <v>191</v>
      </c>
      <c r="W13" s="257">
        <f>+W12</f>
        <v>120</v>
      </c>
      <c r="X13" s="155" t="s">
        <v>81</v>
      </c>
      <c r="Y13" s="215">
        <f>[1]Resumen!$E$16</f>
        <v>268.593728</v>
      </c>
      <c r="Z13" s="57">
        <f>Y13/Y12-1</f>
        <v>0.18181818181818188</v>
      </c>
      <c r="AB13" s="55" t="s">
        <v>193</v>
      </c>
      <c r="AC13" s="257">
        <f>+AC12</f>
        <v>120</v>
      </c>
      <c r="AD13" s="155" t="s">
        <v>81</v>
      </c>
      <c r="AE13" s="215">
        <f>[1]Resumen!$E$20</f>
        <v>285.25639999999999</v>
      </c>
      <c r="AF13" s="57">
        <f>AE13/AE12-1</f>
        <v>0.18181818181818188</v>
      </c>
      <c r="AH13" s="55" t="s">
        <v>194</v>
      </c>
      <c r="AI13" s="257">
        <f>+AI12</f>
        <v>120</v>
      </c>
      <c r="AJ13" s="155" t="s">
        <v>81</v>
      </c>
      <c r="AK13" s="215">
        <f>[1]Resumen!$E$24</f>
        <v>417.08617599999997</v>
      </c>
      <c r="AL13" s="57">
        <f>AK13/AK12-1</f>
        <v>0.1818181818181821</v>
      </c>
      <c r="AN13" s="55" t="s">
        <v>197</v>
      </c>
      <c r="AO13" s="257">
        <f>+AO12</f>
        <v>120</v>
      </c>
      <c r="AP13" s="155" t="s">
        <v>81</v>
      </c>
      <c r="AQ13" s="215">
        <f>[1]Resumen!$E$28</f>
        <v>338.54079999999999</v>
      </c>
      <c r="AR13" s="57">
        <f>AQ13/AQ12-1</f>
        <v>0.18181818181818188</v>
      </c>
    </row>
    <row r="14" spans="2:44" x14ac:dyDescent="0.3">
      <c r="B14" s="174" t="s">
        <v>189</v>
      </c>
      <c r="D14" s="55" t="s">
        <v>78</v>
      </c>
      <c r="E14" s="257">
        <f t="shared" ref="E14:E18" si="1">+E13</f>
        <v>120</v>
      </c>
      <c r="F14" s="56" t="s">
        <v>83</v>
      </c>
      <c r="G14" s="207">
        <f>[1]Resumen!$F$4</f>
        <v>284.97304000000003</v>
      </c>
      <c r="H14" s="57">
        <f t="shared" ref="H14:H18" si="2">G14/G13-1</f>
        <v>0.30769230769230793</v>
      </c>
      <c r="J14" s="55" t="s">
        <v>187</v>
      </c>
      <c r="K14" s="257">
        <f t="shared" ref="K14:K18" si="3">+K13</f>
        <v>120</v>
      </c>
      <c r="L14" s="189" t="s">
        <v>83</v>
      </c>
      <c r="M14" s="215">
        <f>[1]Resumen!$F$8</f>
        <v>272.99497600000001</v>
      </c>
      <c r="N14" s="57">
        <f t="shared" ref="N14:N17" si="4">M14/M13-1</f>
        <v>0.30769230769230771</v>
      </c>
      <c r="P14" s="55" t="s">
        <v>189</v>
      </c>
      <c r="Q14" s="257">
        <f t="shared" ref="Q14:Q18" si="5">+Q13</f>
        <v>120</v>
      </c>
      <c r="R14" s="155" t="s">
        <v>83</v>
      </c>
      <c r="S14" s="215">
        <f>[1]Resumen!$F$12</f>
        <v>293.52879999999999</v>
      </c>
      <c r="T14" s="57">
        <f t="shared" ref="T14:T18" si="6">S14/S13-1</f>
        <v>0.30769230769230771</v>
      </c>
      <c r="V14" s="55" t="s">
        <v>191</v>
      </c>
      <c r="W14" s="257">
        <f t="shared" ref="W14:W18" si="7">+W13</f>
        <v>120</v>
      </c>
      <c r="X14" s="155" t="s">
        <v>83</v>
      </c>
      <c r="Y14" s="215">
        <f>[1]Resumen!$F$16</f>
        <v>351.23795200000001</v>
      </c>
      <c r="Z14" s="57">
        <f t="shared" ref="Z14:Z18" si="8">Y14/Y13-1</f>
        <v>0.30769230769230771</v>
      </c>
      <c r="AB14" s="55" t="s">
        <v>193</v>
      </c>
      <c r="AC14" s="257">
        <f t="shared" ref="AC14:AC18" si="9">+AC13</f>
        <v>120</v>
      </c>
      <c r="AD14" s="155" t="s">
        <v>83</v>
      </c>
      <c r="AE14" s="215">
        <f>[1]Resumen!$F$20</f>
        <v>373.02760000000001</v>
      </c>
      <c r="AF14" s="57">
        <f t="shared" ref="AF14:AF18" si="10">AE14/AE13-1</f>
        <v>0.30769230769230771</v>
      </c>
      <c r="AH14" s="55" t="s">
        <v>194</v>
      </c>
      <c r="AI14" s="257">
        <f t="shared" ref="AI14:AI18" si="11">+AI13</f>
        <v>120</v>
      </c>
      <c r="AJ14" s="155" t="s">
        <v>83</v>
      </c>
      <c r="AK14" s="215">
        <f>[1]Resumen!$F$24</f>
        <v>545.42038400000001</v>
      </c>
      <c r="AL14" s="57">
        <f t="shared" ref="AL14:AL18" si="12">AK14/AK13-1</f>
        <v>0.30769230769230793</v>
      </c>
      <c r="AN14" s="55" t="s">
        <v>197</v>
      </c>
      <c r="AO14" s="257">
        <f t="shared" ref="AO14:AO18" si="13">+AO13</f>
        <v>120</v>
      </c>
      <c r="AP14" s="155" t="s">
        <v>83</v>
      </c>
      <c r="AQ14" s="215">
        <f>[1]Resumen!$F$28</f>
        <v>442.7072</v>
      </c>
      <c r="AR14" s="57">
        <f t="shared" ref="AR14:AR18" si="14">AQ14/AQ13-1</f>
        <v>0.30769230769230771</v>
      </c>
    </row>
    <row r="15" spans="2:44" x14ac:dyDescent="0.3">
      <c r="B15" s="174" t="s">
        <v>191</v>
      </c>
      <c r="D15" s="55" t="s">
        <v>78</v>
      </c>
      <c r="E15" s="257">
        <f t="shared" si="1"/>
        <v>120</v>
      </c>
      <c r="F15" s="56" t="s">
        <v>85</v>
      </c>
      <c r="G15" s="207">
        <f>[1]Resumen!$G$4</f>
        <v>343.64395999999999</v>
      </c>
      <c r="H15" s="57">
        <f t="shared" si="2"/>
        <v>0.20588235294117641</v>
      </c>
      <c r="J15" s="55" t="s">
        <v>187</v>
      </c>
      <c r="K15" s="257">
        <f t="shared" si="3"/>
        <v>120</v>
      </c>
      <c r="L15" s="189" t="s">
        <v>85</v>
      </c>
      <c r="M15" s="215">
        <f>[1]Resumen!$G$8</f>
        <v>329.19982400000004</v>
      </c>
      <c r="N15" s="57">
        <f t="shared" si="4"/>
        <v>0.20588235294117663</v>
      </c>
      <c r="P15" s="55" t="s">
        <v>189</v>
      </c>
      <c r="Q15" s="257">
        <f t="shared" si="5"/>
        <v>120</v>
      </c>
      <c r="R15" s="155" t="s">
        <v>85</v>
      </c>
      <c r="S15" s="215">
        <f>[1]Resumen!$G$12</f>
        <v>353.96119999999996</v>
      </c>
      <c r="T15" s="57">
        <f t="shared" si="6"/>
        <v>0.20588235294117641</v>
      </c>
      <c r="V15" s="55" t="s">
        <v>191</v>
      </c>
      <c r="W15" s="257">
        <f t="shared" si="7"/>
        <v>120</v>
      </c>
      <c r="X15" s="155" t="s">
        <v>85</v>
      </c>
      <c r="Y15" s="215">
        <f>[1]Resumen!$G$16</f>
        <v>423.551648</v>
      </c>
      <c r="Z15" s="57">
        <f t="shared" si="8"/>
        <v>0.20588235294117641</v>
      </c>
      <c r="AB15" s="55" t="s">
        <v>193</v>
      </c>
      <c r="AC15" s="257">
        <f t="shared" si="9"/>
        <v>120</v>
      </c>
      <c r="AD15" s="155" t="s">
        <v>85</v>
      </c>
      <c r="AE15" s="215">
        <f>[1]Resumen!$G$20</f>
        <v>449.82739999999995</v>
      </c>
      <c r="AF15" s="57">
        <f t="shared" si="10"/>
        <v>0.20588235294117641</v>
      </c>
      <c r="AH15" s="55" t="s">
        <v>194</v>
      </c>
      <c r="AI15" s="257">
        <f t="shared" si="11"/>
        <v>120</v>
      </c>
      <c r="AJ15" s="155" t="s">
        <v>85</v>
      </c>
      <c r="AK15" s="215">
        <f>[1]Resumen!$G$24</f>
        <v>657.71281599999986</v>
      </c>
      <c r="AL15" s="57">
        <f t="shared" si="12"/>
        <v>0.20588235294117618</v>
      </c>
      <c r="AN15" s="55" t="s">
        <v>197</v>
      </c>
      <c r="AO15" s="257">
        <f t="shared" si="13"/>
        <v>120</v>
      </c>
      <c r="AP15" s="155" t="s">
        <v>85</v>
      </c>
      <c r="AQ15" s="215">
        <f>[1]Resumen!$G$28</f>
        <v>533.8528</v>
      </c>
      <c r="AR15" s="57">
        <f t="shared" si="14"/>
        <v>0.20588235294117641</v>
      </c>
    </row>
    <row r="16" spans="2:44" x14ac:dyDescent="0.3">
      <c r="B16" s="174" t="s">
        <v>193</v>
      </c>
      <c r="D16" s="55" t="s">
        <v>78</v>
      </c>
      <c r="E16" s="257">
        <f t="shared" si="1"/>
        <v>120</v>
      </c>
      <c r="F16" s="56" t="s">
        <v>87</v>
      </c>
      <c r="G16" s="207">
        <f>[1]Resumen!$H$4</f>
        <v>393.93332000000004</v>
      </c>
      <c r="H16" s="57">
        <f t="shared" si="2"/>
        <v>0.14634146341463428</v>
      </c>
      <c r="J16" s="55" t="s">
        <v>187</v>
      </c>
      <c r="K16" s="257">
        <f t="shared" si="3"/>
        <v>120</v>
      </c>
      <c r="L16" s="189" t="s">
        <v>87</v>
      </c>
      <c r="M16" s="215">
        <f>[1]Resumen!$H$8</f>
        <v>377.37540800000005</v>
      </c>
      <c r="N16" s="57">
        <f t="shared" si="4"/>
        <v>0.14634146341463428</v>
      </c>
      <c r="P16" s="55" t="s">
        <v>189</v>
      </c>
      <c r="Q16" s="257">
        <f t="shared" si="5"/>
        <v>120</v>
      </c>
      <c r="R16" s="155" t="s">
        <v>87</v>
      </c>
      <c r="S16" s="215">
        <f>[1]Resumen!$H$12</f>
        <v>405.76039999999995</v>
      </c>
      <c r="T16" s="57">
        <f t="shared" si="6"/>
        <v>0.14634146341463405</v>
      </c>
      <c r="V16" s="55" t="s">
        <v>191</v>
      </c>
      <c r="W16" s="257">
        <f t="shared" si="7"/>
        <v>120</v>
      </c>
      <c r="X16" s="155" t="s">
        <v>87</v>
      </c>
      <c r="Y16" s="215">
        <f>[1]Resumen!$H$16</f>
        <v>485.53481599999998</v>
      </c>
      <c r="Z16" s="57">
        <f t="shared" si="8"/>
        <v>0.14634146341463405</v>
      </c>
      <c r="AB16" s="55" t="s">
        <v>193</v>
      </c>
      <c r="AC16" s="257">
        <f t="shared" si="9"/>
        <v>120</v>
      </c>
      <c r="AD16" s="155" t="s">
        <v>87</v>
      </c>
      <c r="AE16" s="215">
        <f>[1]Resumen!$H$20</f>
        <v>515.6558</v>
      </c>
      <c r="AF16" s="57">
        <f t="shared" si="10"/>
        <v>0.14634146341463428</v>
      </c>
      <c r="AH16" s="55" t="s">
        <v>194</v>
      </c>
      <c r="AI16" s="257">
        <f t="shared" si="11"/>
        <v>120</v>
      </c>
      <c r="AJ16" s="155" t="s">
        <v>87</v>
      </c>
      <c r="AK16" s="215">
        <f>[1]Resumen!$H$24</f>
        <v>753.96347199999991</v>
      </c>
      <c r="AL16" s="57">
        <f t="shared" si="12"/>
        <v>0.14634146341463428</v>
      </c>
      <c r="AN16" s="55" t="s">
        <v>197</v>
      </c>
      <c r="AO16" s="257">
        <f t="shared" si="13"/>
        <v>120</v>
      </c>
      <c r="AP16" s="155" t="s">
        <v>87</v>
      </c>
      <c r="AQ16" s="215">
        <f>[1]Resumen!$H$28</f>
        <v>611.97760000000005</v>
      </c>
      <c r="AR16" s="57">
        <f t="shared" si="14"/>
        <v>0.14634146341463428</v>
      </c>
    </row>
    <row r="17" spans="2:44" x14ac:dyDescent="0.3">
      <c r="B17" s="174" t="s">
        <v>194</v>
      </c>
      <c r="D17" s="55" t="s">
        <v>78</v>
      </c>
      <c r="E17" s="257">
        <f t="shared" si="1"/>
        <v>120</v>
      </c>
      <c r="F17" s="56" t="s">
        <v>89</v>
      </c>
      <c r="G17" s="207">
        <f>[1]Resumen!$I$4</f>
        <v>460.98580000000004</v>
      </c>
      <c r="H17" s="57">
        <f t="shared" si="2"/>
        <v>0.17021276595744683</v>
      </c>
      <c r="J17" s="55" t="s">
        <v>187</v>
      </c>
      <c r="K17" s="257">
        <f t="shared" si="3"/>
        <v>120</v>
      </c>
      <c r="L17" s="189" t="s">
        <v>89</v>
      </c>
      <c r="M17" s="215">
        <f>[1]Resumen!$I$8</f>
        <v>441.60952000000003</v>
      </c>
      <c r="N17" s="57">
        <f t="shared" si="4"/>
        <v>0.17021276595744683</v>
      </c>
      <c r="P17" s="55" t="s">
        <v>189</v>
      </c>
      <c r="Q17" s="257">
        <f t="shared" si="5"/>
        <v>120</v>
      </c>
      <c r="R17" s="155" t="s">
        <v>89</v>
      </c>
      <c r="S17" s="215">
        <f>[1]Resumen!$I$12</f>
        <v>474.82599999999996</v>
      </c>
      <c r="T17" s="57">
        <f t="shared" si="6"/>
        <v>0.17021276595744683</v>
      </c>
      <c r="V17" s="55" t="s">
        <v>191</v>
      </c>
      <c r="W17" s="257">
        <f t="shared" si="7"/>
        <v>120</v>
      </c>
      <c r="X17" s="155" t="s">
        <v>89</v>
      </c>
      <c r="Y17" s="215">
        <f>[1]Resumen!$I$16</f>
        <v>568.17903999999999</v>
      </c>
      <c r="Z17" s="57">
        <f t="shared" si="8"/>
        <v>0.17021276595744683</v>
      </c>
      <c r="AB17" s="55" t="s">
        <v>193</v>
      </c>
      <c r="AC17" s="257">
        <f t="shared" si="9"/>
        <v>120</v>
      </c>
      <c r="AD17" s="155" t="s">
        <v>89</v>
      </c>
      <c r="AE17" s="215">
        <f>[1]Resumen!$I$20</f>
        <v>603.42700000000002</v>
      </c>
      <c r="AF17" s="57">
        <f t="shared" si="10"/>
        <v>0.17021276595744683</v>
      </c>
      <c r="AH17" s="55" t="s">
        <v>194</v>
      </c>
      <c r="AI17" s="257">
        <f t="shared" si="11"/>
        <v>120</v>
      </c>
      <c r="AJ17" s="155" t="s">
        <v>89</v>
      </c>
      <c r="AK17" s="215">
        <f>[1]Resumen!$I$24</f>
        <v>882.29768000000001</v>
      </c>
      <c r="AL17" s="57">
        <f t="shared" si="12"/>
        <v>0.17021276595744705</v>
      </c>
      <c r="AN17" s="55" t="s">
        <v>197</v>
      </c>
      <c r="AO17" s="257">
        <f t="shared" si="13"/>
        <v>120</v>
      </c>
      <c r="AP17" s="155" t="s">
        <v>89</v>
      </c>
      <c r="AQ17" s="215">
        <f>[1]Resumen!$I$28</f>
        <v>716.14399999999989</v>
      </c>
      <c r="AR17" s="57">
        <f t="shared" si="14"/>
        <v>0.17021276595744661</v>
      </c>
    </row>
    <row r="18" spans="2:44" ht="15" thickBot="1" x14ac:dyDescent="0.35">
      <c r="B18" s="175" t="s">
        <v>197</v>
      </c>
      <c r="D18" s="61" t="s">
        <v>78</v>
      </c>
      <c r="E18" s="257">
        <f t="shared" si="1"/>
        <v>120</v>
      </c>
      <c r="F18" s="62" t="s">
        <v>91</v>
      </c>
      <c r="G18" s="209">
        <f>[1]Resumen!$J$4</f>
        <v>502.89359999999999</v>
      </c>
      <c r="H18" s="57">
        <f t="shared" si="2"/>
        <v>9.0909090909090828E-2</v>
      </c>
      <c r="J18" s="34" t="s">
        <v>187</v>
      </c>
      <c r="K18" s="257">
        <f t="shared" si="3"/>
        <v>120</v>
      </c>
      <c r="L18" s="72" t="s">
        <v>91</v>
      </c>
      <c r="M18" s="216">
        <f>[1]Resumen!$J$8</f>
        <v>481.75584000000003</v>
      </c>
      <c r="N18" s="57">
        <f>M18/M17-1</f>
        <v>9.0909090909090828E-2</v>
      </c>
      <c r="P18" s="61" t="s">
        <v>189</v>
      </c>
      <c r="Q18" s="257">
        <f t="shared" si="5"/>
        <v>120</v>
      </c>
      <c r="R18" s="62" t="s">
        <v>91</v>
      </c>
      <c r="S18" s="216">
        <f>[1]Resumen!$J$12</f>
        <v>517.99199999999996</v>
      </c>
      <c r="T18" s="57">
        <f t="shared" si="6"/>
        <v>9.0909090909090828E-2</v>
      </c>
      <c r="V18" s="61" t="s">
        <v>191</v>
      </c>
      <c r="W18" s="257">
        <f t="shared" si="7"/>
        <v>120</v>
      </c>
      <c r="X18" s="62" t="s">
        <v>91</v>
      </c>
      <c r="Y18" s="216">
        <f>[1]Resumen!$J$16</f>
        <v>619.83168000000001</v>
      </c>
      <c r="Z18" s="57">
        <f t="shared" si="8"/>
        <v>9.090909090909105E-2</v>
      </c>
      <c r="AB18" s="61" t="s">
        <v>193</v>
      </c>
      <c r="AC18" s="257">
        <f t="shared" si="9"/>
        <v>120</v>
      </c>
      <c r="AD18" s="62" t="s">
        <v>91</v>
      </c>
      <c r="AE18" s="216">
        <f>[1]Resumen!$J$20</f>
        <v>658.28399999999999</v>
      </c>
      <c r="AF18" s="57">
        <f t="shared" si="10"/>
        <v>9.0909090909090828E-2</v>
      </c>
      <c r="AH18" s="61" t="s">
        <v>194</v>
      </c>
      <c r="AI18" s="257">
        <f t="shared" si="11"/>
        <v>120</v>
      </c>
      <c r="AJ18" s="62" t="s">
        <v>91</v>
      </c>
      <c r="AK18" s="216">
        <f>[1]Resumen!$J$24</f>
        <v>962.50655999999992</v>
      </c>
      <c r="AL18" s="57">
        <f t="shared" si="12"/>
        <v>9.0909090909090828E-2</v>
      </c>
      <c r="AN18" s="61" t="s">
        <v>197</v>
      </c>
      <c r="AO18" s="257">
        <f t="shared" si="13"/>
        <v>120</v>
      </c>
      <c r="AP18" s="62" t="s">
        <v>91</v>
      </c>
      <c r="AQ18" s="216">
        <f>[1]Resumen!$J$28</f>
        <v>781.24800000000005</v>
      </c>
      <c r="AR18" s="57">
        <f t="shared" si="14"/>
        <v>9.090909090909105E-2</v>
      </c>
    </row>
    <row r="19" spans="2:44" ht="15" thickBot="1" x14ac:dyDescent="0.35">
      <c r="D19" s="48" t="s">
        <v>78</v>
      </c>
      <c r="E19" s="49">
        <v>225</v>
      </c>
      <c r="F19" s="49" t="s">
        <v>79</v>
      </c>
      <c r="G19" s="211">
        <f>[1]Resumen!$D$5</f>
        <v>203.7706</v>
      </c>
      <c r="H19" s="57"/>
      <c r="I19" s="50"/>
      <c r="J19" s="48" t="s">
        <v>187</v>
      </c>
      <c r="K19" s="49">
        <v>225</v>
      </c>
      <c r="L19" s="49" t="s">
        <v>79</v>
      </c>
      <c r="M19" s="214">
        <f>[1]Resumen!$D$9</f>
        <v>189.23839000000001</v>
      </c>
      <c r="N19" s="57"/>
      <c r="P19" s="48" t="s">
        <v>189</v>
      </c>
      <c r="Q19" s="49">
        <v>225</v>
      </c>
      <c r="R19" s="49" t="s">
        <v>79</v>
      </c>
      <c r="S19" s="214">
        <f>[1]Resumen!$D$13</f>
        <v>214.15075000000002</v>
      </c>
      <c r="T19" s="57"/>
      <c r="V19" s="48" t="s">
        <v>191</v>
      </c>
      <c r="W19" s="49">
        <v>225</v>
      </c>
      <c r="X19" s="49" t="s">
        <v>79</v>
      </c>
      <c r="Y19" s="214">
        <f>[1]Resumen!$D$17</f>
        <v>310.15303000000006</v>
      </c>
      <c r="Z19" s="57"/>
      <c r="AB19" s="48" t="s">
        <v>193</v>
      </c>
      <c r="AC19" s="49">
        <v>225</v>
      </c>
      <c r="AD19" s="49" t="s">
        <v>79</v>
      </c>
      <c r="AE19" s="214">
        <f>[1]Resumen!$D$21</f>
        <v>310.60149999999999</v>
      </c>
      <c r="AF19" s="57"/>
      <c r="AH19" s="48" t="s">
        <v>194</v>
      </c>
      <c r="AI19" s="49">
        <v>225</v>
      </c>
      <c r="AJ19" s="49" t="s">
        <v>79</v>
      </c>
      <c r="AK19" s="214">
        <f>[1]Resumen!$D$25</f>
        <v>491.84201000000002</v>
      </c>
      <c r="AL19" s="57"/>
      <c r="AN19" s="48" t="s">
        <v>197</v>
      </c>
      <c r="AO19" s="49">
        <v>225</v>
      </c>
      <c r="AP19" s="49" t="s">
        <v>79</v>
      </c>
      <c r="AQ19" s="214">
        <f>[1]Resumen!$D$29</f>
        <v>367.22674999999998</v>
      </c>
      <c r="AR19" s="57"/>
    </row>
    <row r="20" spans="2:44" ht="15" thickBot="1" x14ac:dyDescent="0.35">
      <c r="B20" s="280" t="s">
        <v>210</v>
      </c>
      <c r="D20" s="55" t="s">
        <v>78</v>
      </c>
      <c r="E20" s="56">
        <v>225</v>
      </c>
      <c r="F20" s="56" t="s">
        <v>81</v>
      </c>
      <c r="G20" s="206">
        <f>[1]Resumen!$E$5</f>
        <v>240.81979999999999</v>
      </c>
      <c r="H20" s="57">
        <f t="shared" ref="H20:H25" si="15">G20/G19-1</f>
        <v>0.18181818181818166</v>
      </c>
      <c r="I20" s="65"/>
      <c r="J20" s="55" t="s">
        <v>187</v>
      </c>
      <c r="K20" s="189">
        <v>225</v>
      </c>
      <c r="L20" s="189" t="s">
        <v>81</v>
      </c>
      <c r="M20" s="215">
        <f>[1]Resumen!$E$9</f>
        <v>223.64537000000001</v>
      </c>
      <c r="N20" s="57">
        <f t="shared" ref="N20:N25" si="16">M20/M19-1</f>
        <v>0.18181818181818188</v>
      </c>
      <c r="P20" s="55" t="s">
        <v>189</v>
      </c>
      <c r="Q20" s="155">
        <v>225</v>
      </c>
      <c r="R20" s="155" t="s">
        <v>81</v>
      </c>
      <c r="S20" s="215">
        <f>[1]Resumen!$E$13</f>
        <v>253.08725000000001</v>
      </c>
      <c r="T20" s="57">
        <f t="shared" ref="T20:T25" si="17">S20/S19-1</f>
        <v>0.18181818181818188</v>
      </c>
      <c r="V20" s="55" t="s">
        <v>191</v>
      </c>
      <c r="W20" s="155">
        <v>225</v>
      </c>
      <c r="X20" s="155" t="s">
        <v>81</v>
      </c>
      <c r="Y20" s="215">
        <f>[1]Resumen!$E$17</f>
        <v>366.54449000000005</v>
      </c>
      <c r="Z20" s="57">
        <f t="shared" ref="Z20:Z25" si="18">Y20/Y19-1</f>
        <v>0.18181818181818188</v>
      </c>
      <c r="AB20" s="55" t="s">
        <v>193</v>
      </c>
      <c r="AC20" s="155">
        <v>225</v>
      </c>
      <c r="AD20" s="155" t="s">
        <v>81</v>
      </c>
      <c r="AE20" s="215">
        <f>[1]Resumen!$E$21</f>
        <v>367.07450000000006</v>
      </c>
      <c r="AF20" s="57">
        <f t="shared" ref="AF20:AF25" si="19">AE20/AE19-1</f>
        <v>0.1818181818181821</v>
      </c>
      <c r="AH20" s="55" t="s">
        <v>194</v>
      </c>
      <c r="AI20" s="155">
        <v>225</v>
      </c>
      <c r="AJ20" s="155" t="s">
        <v>81</v>
      </c>
      <c r="AK20" s="215">
        <f>[1]Resumen!$E$25</f>
        <v>581.26783</v>
      </c>
      <c r="AL20" s="57">
        <f t="shared" ref="AL20:AL25" si="20">AK20/AK19-1</f>
        <v>0.18181818181818188</v>
      </c>
      <c r="AN20" s="55" t="s">
        <v>197</v>
      </c>
      <c r="AO20" s="155">
        <v>225</v>
      </c>
      <c r="AP20" s="155" t="s">
        <v>81</v>
      </c>
      <c r="AQ20" s="215">
        <f>[1]Resumen!$E$29</f>
        <v>433.99524999999994</v>
      </c>
      <c r="AR20" s="57">
        <f t="shared" ref="AR20:AR25" si="21">AQ20/AQ19-1</f>
        <v>0.18181818181818166</v>
      </c>
    </row>
    <row r="21" spans="2:44" x14ac:dyDescent="0.3">
      <c r="B21" s="281">
        <v>120</v>
      </c>
      <c r="D21" s="55" t="s">
        <v>78</v>
      </c>
      <c r="E21" s="56">
        <v>225</v>
      </c>
      <c r="F21" s="56" t="s">
        <v>83</v>
      </c>
      <c r="G21" s="207">
        <f>[1]Resumen!$F$5</f>
        <v>314.91820000000001</v>
      </c>
      <c r="H21" s="57">
        <f t="shared" si="15"/>
        <v>0.30769230769230771</v>
      </c>
      <c r="I21" s="65"/>
      <c r="J21" s="55" t="s">
        <v>187</v>
      </c>
      <c r="K21" s="189">
        <v>225</v>
      </c>
      <c r="L21" s="189" t="s">
        <v>83</v>
      </c>
      <c r="M21" s="215">
        <f>[1]Resumen!$F$9</f>
        <v>292.45932999999997</v>
      </c>
      <c r="N21" s="57">
        <f t="shared" si="16"/>
        <v>0.30769230769230749</v>
      </c>
      <c r="P21" s="55" t="s">
        <v>189</v>
      </c>
      <c r="Q21" s="155">
        <v>225</v>
      </c>
      <c r="R21" s="155" t="s">
        <v>83</v>
      </c>
      <c r="S21" s="215">
        <f>[1]Resumen!$F$13</f>
        <v>330.96025000000003</v>
      </c>
      <c r="T21" s="57">
        <f t="shared" si="17"/>
        <v>0.30769230769230771</v>
      </c>
      <c r="V21" s="55" t="s">
        <v>191</v>
      </c>
      <c r="W21" s="155">
        <v>225</v>
      </c>
      <c r="X21" s="155" t="s">
        <v>83</v>
      </c>
      <c r="Y21" s="215">
        <f>[1]Resumen!$F$17</f>
        <v>479.3274100000001</v>
      </c>
      <c r="Z21" s="57">
        <f t="shared" si="18"/>
        <v>0.30769230769230771</v>
      </c>
      <c r="AB21" s="55" t="s">
        <v>193</v>
      </c>
      <c r="AC21" s="155">
        <v>225</v>
      </c>
      <c r="AD21" s="155" t="s">
        <v>83</v>
      </c>
      <c r="AE21" s="215">
        <f>[1]Resumen!$F$21</f>
        <v>480.02050000000003</v>
      </c>
      <c r="AF21" s="57">
        <f t="shared" si="19"/>
        <v>0.30769230769230749</v>
      </c>
      <c r="AH21" s="55" t="s">
        <v>194</v>
      </c>
      <c r="AI21" s="155">
        <v>225</v>
      </c>
      <c r="AJ21" s="155" t="s">
        <v>83</v>
      </c>
      <c r="AK21" s="215">
        <f>[1]Resumen!$F$25</f>
        <v>760.11946999999998</v>
      </c>
      <c r="AL21" s="57">
        <f t="shared" si="20"/>
        <v>0.30769230769230771</v>
      </c>
      <c r="AN21" s="55" t="s">
        <v>197</v>
      </c>
      <c r="AO21" s="155">
        <v>225</v>
      </c>
      <c r="AP21" s="155" t="s">
        <v>83</v>
      </c>
      <c r="AQ21" s="215">
        <f>[1]Resumen!$F$29</f>
        <v>567.53224999999998</v>
      </c>
      <c r="AR21" s="57">
        <f t="shared" si="21"/>
        <v>0.30769230769230771</v>
      </c>
    </row>
    <row r="22" spans="2:44" x14ac:dyDescent="0.3">
      <c r="B22" s="282">
        <v>225</v>
      </c>
      <c r="D22" s="55" t="s">
        <v>78</v>
      </c>
      <c r="E22" s="56">
        <v>225</v>
      </c>
      <c r="F22" s="56" t="s">
        <v>85</v>
      </c>
      <c r="G22" s="207">
        <f>[1]Resumen!$G$5</f>
        <v>379.7543</v>
      </c>
      <c r="H22" s="57">
        <f t="shared" si="15"/>
        <v>0.20588235294117641</v>
      </c>
      <c r="I22" s="66"/>
      <c r="J22" s="55" t="s">
        <v>187</v>
      </c>
      <c r="K22" s="189">
        <v>225</v>
      </c>
      <c r="L22" s="189" t="s">
        <v>85</v>
      </c>
      <c r="M22" s="215">
        <f>[1]Resumen!$G$9</f>
        <v>352.67154499999998</v>
      </c>
      <c r="N22" s="57">
        <f t="shared" si="16"/>
        <v>0.20588235294117663</v>
      </c>
      <c r="P22" s="55" t="s">
        <v>189</v>
      </c>
      <c r="Q22" s="155">
        <v>225</v>
      </c>
      <c r="R22" s="155" t="s">
        <v>85</v>
      </c>
      <c r="S22" s="215">
        <f>[1]Resumen!$G$13</f>
        <v>399.09912499999996</v>
      </c>
      <c r="T22" s="57">
        <f t="shared" si="17"/>
        <v>0.20588235294117618</v>
      </c>
      <c r="V22" s="55" t="s">
        <v>191</v>
      </c>
      <c r="W22" s="155">
        <v>225</v>
      </c>
      <c r="X22" s="155" t="s">
        <v>85</v>
      </c>
      <c r="Y22" s="215">
        <f>[1]Resumen!$G$17</f>
        <v>578.01246500000013</v>
      </c>
      <c r="Z22" s="57">
        <f t="shared" si="18"/>
        <v>0.20588235294117641</v>
      </c>
      <c r="AB22" s="55" t="s">
        <v>193</v>
      </c>
      <c r="AC22" s="155">
        <v>225</v>
      </c>
      <c r="AD22" s="155" t="s">
        <v>85</v>
      </c>
      <c r="AE22" s="215">
        <f>[1]Resumen!$G$21</f>
        <v>578.84825000000001</v>
      </c>
      <c r="AF22" s="57">
        <f t="shared" si="19"/>
        <v>0.20588235294117641</v>
      </c>
      <c r="AH22" s="55" t="s">
        <v>194</v>
      </c>
      <c r="AI22" s="155">
        <v>225</v>
      </c>
      <c r="AJ22" s="155" t="s">
        <v>85</v>
      </c>
      <c r="AK22" s="215">
        <f>[1]Resumen!$G$25</f>
        <v>916.61465500000008</v>
      </c>
      <c r="AL22" s="57">
        <f t="shared" si="20"/>
        <v>0.20588235294117663</v>
      </c>
      <c r="AN22" s="55" t="s">
        <v>197</v>
      </c>
      <c r="AO22" s="155">
        <v>225</v>
      </c>
      <c r="AP22" s="155" t="s">
        <v>85</v>
      </c>
      <c r="AQ22" s="215">
        <f>[1]Resumen!$G$29</f>
        <v>684.37712499999998</v>
      </c>
      <c r="AR22" s="57">
        <f t="shared" si="21"/>
        <v>0.20588235294117641</v>
      </c>
    </row>
    <row r="23" spans="2:44" x14ac:dyDescent="0.3">
      <c r="B23" s="282">
        <v>375</v>
      </c>
      <c r="D23" s="55" t="s">
        <v>78</v>
      </c>
      <c r="E23" s="56">
        <v>225</v>
      </c>
      <c r="F23" s="56" t="s">
        <v>87</v>
      </c>
      <c r="G23" s="207">
        <f>[1]Resumen!$H$5</f>
        <v>435.32810000000006</v>
      </c>
      <c r="H23" s="57">
        <f t="shared" si="15"/>
        <v>0.14634146341463428</v>
      </c>
      <c r="I23" s="67"/>
      <c r="J23" s="55" t="s">
        <v>187</v>
      </c>
      <c r="K23" s="189">
        <v>225</v>
      </c>
      <c r="L23" s="189" t="s">
        <v>87</v>
      </c>
      <c r="M23" s="215">
        <f>[1]Resumen!$H$9</f>
        <v>404.28201499999994</v>
      </c>
      <c r="N23" s="57">
        <f t="shared" si="16"/>
        <v>0.14634146341463405</v>
      </c>
      <c r="P23" s="55" t="s">
        <v>189</v>
      </c>
      <c r="Q23" s="155">
        <v>225</v>
      </c>
      <c r="R23" s="155" t="s">
        <v>87</v>
      </c>
      <c r="S23" s="215">
        <f>[1]Resumen!$H$13</f>
        <v>457.50387500000005</v>
      </c>
      <c r="T23" s="57">
        <f t="shared" si="17"/>
        <v>0.1463414634146345</v>
      </c>
      <c r="V23" s="55" t="s">
        <v>191</v>
      </c>
      <c r="W23" s="155">
        <v>225</v>
      </c>
      <c r="X23" s="155" t="s">
        <v>87</v>
      </c>
      <c r="Y23" s="215">
        <f>[1]Resumen!$H$17</f>
        <v>662.5996550000001</v>
      </c>
      <c r="Z23" s="57">
        <f t="shared" si="18"/>
        <v>0.14634146341463405</v>
      </c>
      <c r="AB23" s="55" t="s">
        <v>193</v>
      </c>
      <c r="AC23" s="155">
        <v>225</v>
      </c>
      <c r="AD23" s="155" t="s">
        <v>87</v>
      </c>
      <c r="AE23" s="215">
        <f>[1]Resumen!$H$21</f>
        <v>663.55775000000006</v>
      </c>
      <c r="AF23" s="57">
        <f t="shared" si="19"/>
        <v>0.14634146341463428</v>
      </c>
      <c r="AH23" s="55" t="s">
        <v>194</v>
      </c>
      <c r="AI23" s="155">
        <v>225</v>
      </c>
      <c r="AJ23" s="155" t="s">
        <v>87</v>
      </c>
      <c r="AK23" s="215">
        <f>[1]Resumen!$H$25</f>
        <v>1050.753385</v>
      </c>
      <c r="AL23" s="57">
        <f t="shared" si="20"/>
        <v>0.14634146341463405</v>
      </c>
      <c r="AN23" s="55" t="s">
        <v>197</v>
      </c>
      <c r="AO23" s="155">
        <v>225</v>
      </c>
      <c r="AP23" s="155" t="s">
        <v>87</v>
      </c>
      <c r="AQ23" s="215">
        <f>[1]Resumen!$H$29</f>
        <v>784.52987499999983</v>
      </c>
      <c r="AR23" s="57">
        <f t="shared" si="21"/>
        <v>0.14634146341463383</v>
      </c>
    </row>
    <row r="24" spans="2:44" ht="15" thickBot="1" x14ac:dyDescent="0.35">
      <c r="B24" s="283">
        <v>480</v>
      </c>
      <c r="D24" s="55" t="s">
        <v>78</v>
      </c>
      <c r="E24" s="56">
        <v>225</v>
      </c>
      <c r="F24" s="56" t="s">
        <v>89</v>
      </c>
      <c r="G24" s="207">
        <f>[1]Resumen!$I$5</f>
        <v>509.42650000000003</v>
      </c>
      <c r="H24" s="57">
        <f t="shared" si="15"/>
        <v>0.17021276595744661</v>
      </c>
      <c r="J24" s="55" t="s">
        <v>187</v>
      </c>
      <c r="K24" s="189">
        <v>225</v>
      </c>
      <c r="L24" s="189" t="s">
        <v>89</v>
      </c>
      <c r="M24" s="215">
        <f>[1]Resumen!$I$9</f>
        <v>473.09597499999995</v>
      </c>
      <c r="N24" s="57">
        <f t="shared" si="16"/>
        <v>0.17021276595744683</v>
      </c>
      <c r="P24" s="55" t="s">
        <v>189</v>
      </c>
      <c r="Q24" s="155">
        <v>225</v>
      </c>
      <c r="R24" s="155" t="s">
        <v>89</v>
      </c>
      <c r="S24" s="215">
        <f>[1]Resumen!$I$13</f>
        <v>535.37687500000004</v>
      </c>
      <c r="T24" s="57">
        <f t="shared" si="17"/>
        <v>0.17021276595744683</v>
      </c>
      <c r="V24" s="55" t="s">
        <v>191</v>
      </c>
      <c r="W24" s="155">
        <v>225</v>
      </c>
      <c r="X24" s="155" t="s">
        <v>89</v>
      </c>
      <c r="Y24" s="215">
        <f>[1]Resumen!$I$17</f>
        <v>775.38257500000009</v>
      </c>
      <c r="Z24" s="57">
        <f t="shared" si="18"/>
        <v>0.17021276595744683</v>
      </c>
      <c r="AB24" s="55" t="s">
        <v>193</v>
      </c>
      <c r="AC24" s="155">
        <v>225</v>
      </c>
      <c r="AD24" s="155" t="s">
        <v>89</v>
      </c>
      <c r="AE24" s="215">
        <f>[1]Resumen!$I$21</f>
        <v>776.50374999999997</v>
      </c>
      <c r="AF24" s="57">
        <f t="shared" si="19"/>
        <v>0.17021276595744661</v>
      </c>
      <c r="AH24" s="55" t="s">
        <v>194</v>
      </c>
      <c r="AI24" s="155">
        <v>225</v>
      </c>
      <c r="AJ24" s="155" t="s">
        <v>89</v>
      </c>
      <c r="AK24" s="215">
        <f>[1]Resumen!$I$25</f>
        <v>1229.6050250000001</v>
      </c>
      <c r="AL24" s="57">
        <f t="shared" si="20"/>
        <v>0.17021276595744683</v>
      </c>
      <c r="AN24" s="55" t="s">
        <v>197</v>
      </c>
      <c r="AO24" s="155">
        <v>225</v>
      </c>
      <c r="AP24" s="155" t="s">
        <v>89</v>
      </c>
      <c r="AQ24" s="215">
        <f>[1]Resumen!$I$29</f>
        <v>918.06687499999987</v>
      </c>
      <c r="AR24" s="57">
        <f t="shared" si="21"/>
        <v>0.17021276595744683</v>
      </c>
    </row>
    <row r="25" spans="2:44" ht="15" thickBot="1" x14ac:dyDescent="0.35">
      <c r="D25" s="61" t="s">
        <v>78</v>
      </c>
      <c r="E25" s="62">
        <v>225</v>
      </c>
      <c r="F25" s="62" t="s">
        <v>91</v>
      </c>
      <c r="G25" s="209">
        <f>[1]Resumen!$J$5</f>
        <v>555.73800000000006</v>
      </c>
      <c r="H25" s="57">
        <f t="shared" si="15"/>
        <v>9.090909090909105E-2</v>
      </c>
      <c r="I25" s="68"/>
      <c r="J25" s="34" t="s">
        <v>187</v>
      </c>
      <c r="K25" s="72">
        <v>225</v>
      </c>
      <c r="L25" s="72" t="s">
        <v>91</v>
      </c>
      <c r="M25" s="216">
        <f>[1]Resumen!$J$9</f>
        <v>516.10469999999998</v>
      </c>
      <c r="N25" s="57">
        <f t="shared" si="16"/>
        <v>9.090909090909105E-2</v>
      </c>
      <c r="P25" s="61" t="s">
        <v>189</v>
      </c>
      <c r="Q25" s="62">
        <v>225</v>
      </c>
      <c r="R25" s="62" t="s">
        <v>91</v>
      </c>
      <c r="S25" s="216">
        <f>[1]Resumen!$J$13</f>
        <v>584.04750000000001</v>
      </c>
      <c r="T25" s="57">
        <f t="shared" si="17"/>
        <v>9.0909090909090828E-2</v>
      </c>
      <c r="V25" s="61" t="s">
        <v>191</v>
      </c>
      <c r="W25" s="62">
        <v>225</v>
      </c>
      <c r="X25" s="62" t="s">
        <v>91</v>
      </c>
      <c r="Y25" s="216">
        <f>[1]Resumen!$J$17</f>
        <v>845.87189999999998</v>
      </c>
      <c r="Z25" s="57">
        <f t="shared" si="18"/>
        <v>9.0909090909090828E-2</v>
      </c>
      <c r="AB25" s="61" t="s">
        <v>193</v>
      </c>
      <c r="AC25" s="62">
        <v>225</v>
      </c>
      <c r="AD25" s="62" t="s">
        <v>91</v>
      </c>
      <c r="AE25" s="216">
        <f>[1]Resumen!$J$21</f>
        <v>847.09500000000003</v>
      </c>
      <c r="AF25" s="57">
        <f t="shared" si="19"/>
        <v>9.090909090909105E-2</v>
      </c>
      <c r="AH25" s="61" t="s">
        <v>194</v>
      </c>
      <c r="AI25" s="62">
        <v>225</v>
      </c>
      <c r="AJ25" s="62" t="s">
        <v>91</v>
      </c>
      <c r="AK25" s="216">
        <f>[1]Resumen!$J$25</f>
        <v>1341.3873000000001</v>
      </c>
      <c r="AL25" s="57">
        <f t="shared" si="20"/>
        <v>9.0909090909090828E-2</v>
      </c>
      <c r="AN25" s="61" t="s">
        <v>197</v>
      </c>
      <c r="AO25" s="62">
        <v>225</v>
      </c>
      <c r="AP25" s="62" t="s">
        <v>91</v>
      </c>
      <c r="AQ25" s="216">
        <f>[1]Resumen!$J$29</f>
        <v>1001.5274999999998</v>
      </c>
      <c r="AR25" s="57">
        <f t="shared" si="21"/>
        <v>9.0909090909090828E-2</v>
      </c>
    </row>
    <row r="26" spans="2:44" x14ac:dyDescent="0.3">
      <c r="D26" s="48" t="s">
        <v>78</v>
      </c>
      <c r="E26" s="49">
        <v>375</v>
      </c>
      <c r="F26" s="49" t="s">
        <v>79</v>
      </c>
      <c r="G26" s="211">
        <f>[1]Resumen!$D$6</f>
        <v>231.45099999999999</v>
      </c>
      <c r="H26" s="57"/>
      <c r="I26" s="69"/>
      <c r="J26" s="128" t="s">
        <v>187</v>
      </c>
      <c r="K26" s="88">
        <v>375</v>
      </c>
      <c r="L26" s="88" t="s">
        <v>79</v>
      </c>
      <c r="M26" s="217">
        <f>[1]Resumen!$D$10</f>
        <v>207.23065000000003</v>
      </c>
      <c r="N26" s="57"/>
      <c r="P26" s="48" t="s">
        <v>189</v>
      </c>
      <c r="Q26" s="49">
        <v>375</v>
      </c>
      <c r="R26" s="49" t="s">
        <v>79</v>
      </c>
      <c r="S26" s="217">
        <f>[1]Resumen!$D$14</f>
        <v>248.75125</v>
      </c>
      <c r="T26" s="57"/>
      <c r="V26" s="48" t="s">
        <v>191</v>
      </c>
      <c r="W26" s="49">
        <v>375</v>
      </c>
      <c r="X26" s="49" t="s">
        <v>79</v>
      </c>
      <c r="Y26" s="217">
        <f>[1]Resumen!$D$18</f>
        <v>428.55505000000005</v>
      </c>
      <c r="Z26" s="57"/>
      <c r="AB26" s="48" t="s">
        <v>193</v>
      </c>
      <c r="AC26" s="49">
        <v>375</v>
      </c>
      <c r="AD26" s="49" t="s">
        <v>79</v>
      </c>
      <c r="AE26" s="217">
        <f>[1]Resumen!$D$22</f>
        <v>409.5025</v>
      </c>
      <c r="AF26" s="57"/>
      <c r="AH26" s="48" t="s">
        <v>194</v>
      </c>
      <c r="AI26" s="49">
        <v>375</v>
      </c>
      <c r="AJ26" s="49" t="s">
        <v>79</v>
      </c>
      <c r="AK26" s="217">
        <f>[1]Resumen!$D$26</f>
        <v>690.30334999999991</v>
      </c>
      <c r="AL26" s="57"/>
      <c r="AN26" s="48" t="s">
        <v>197</v>
      </c>
      <c r="AO26" s="49">
        <v>375</v>
      </c>
      <c r="AP26" s="49" t="s">
        <v>79</v>
      </c>
      <c r="AQ26" s="217">
        <f>[1]Resumen!$D$30</f>
        <v>482.61124999999998</v>
      </c>
      <c r="AR26" s="57"/>
    </row>
    <row r="27" spans="2:44" x14ac:dyDescent="0.3">
      <c r="D27" s="55" t="s">
        <v>78</v>
      </c>
      <c r="E27" s="56">
        <v>375</v>
      </c>
      <c r="F27" s="56" t="s">
        <v>81</v>
      </c>
      <c r="G27" s="206">
        <f>[1]Resumen!$E$6</f>
        <v>273.53300000000002</v>
      </c>
      <c r="H27" s="57">
        <f t="shared" ref="H27:H32" si="22">G27/G26-1</f>
        <v>0.18181818181818188</v>
      </c>
      <c r="I27" s="70"/>
      <c r="J27" s="55" t="s">
        <v>187</v>
      </c>
      <c r="K27" s="155">
        <v>375</v>
      </c>
      <c r="L27" s="155" t="s">
        <v>81</v>
      </c>
      <c r="M27" s="215">
        <f>[1]Resumen!$E$10</f>
        <v>244.90895</v>
      </c>
      <c r="N27" s="57">
        <f t="shared" ref="N27:N32" si="23">M27/M26-1</f>
        <v>0.18181818181818166</v>
      </c>
      <c r="P27" s="55" t="s">
        <v>189</v>
      </c>
      <c r="Q27" s="155">
        <v>375</v>
      </c>
      <c r="R27" s="155" t="s">
        <v>81</v>
      </c>
      <c r="S27" s="215">
        <f>[1]Resumen!$E$14</f>
        <v>293.97874999999999</v>
      </c>
      <c r="T27" s="57">
        <f t="shared" ref="T27:T32" si="24">S27/S26-1</f>
        <v>0.18181818181818188</v>
      </c>
      <c r="V27" s="55" t="s">
        <v>191</v>
      </c>
      <c r="W27" s="155">
        <v>375</v>
      </c>
      <c r="X27" s="155" t="s">
        <v>81</v>
      </c>
      <c r="Y27" s="215">
        <f>[1]Resumen!$E$18</f>
        <v>506.47415000000001</v>
      </c>
      <c r="Z27" s="57">
        <f t="shared" ref="Z27:Z32" si="25">Y27/Y26-1</f>
        <v>0.18181818181818166</v>
      </c>
      <c r="AB27" s="55" t="s">
        <v>193</v>
      </c>
      <c r="AC27" s="155">
        <v>375</v>
      </c>
      <c r="AD27" s="155" t="s">
        <v>81</v>
      </c>
      <c r="AE27" s="215">
        <f>[1]Resumen!$E$22</f>
        <v>483.95749999999998</v>
      </c>
      <c r="AF27" s="57">
        <f t="shared" ref="AF27:AF32" si="26">AE27/AE26-1</f>
        <v>0.18181818181818188</v>
      </c>
      <c r="AH27" s="55" t="s">
        <v>194</v>
      </c>
      <c r="AI27" s="155">
        <v>375</v>
      </c>
      <c r="AJ27" s="155" t="s">
        <v>81</v>
      </c>
      <c r="AK27" s="215">
        <f>[1]Resumen!$E$26</f>
        <v>815.81304999999998</v>
      </c>
      <c r="AL27" s="57">
        <f t="shared" ref="AL27:AL32" si="27">AK27/AK26-1</f>
        <v>0.18181818181818188</v>
      </c>
      <c r="AN27" s="55" t="s">
        <v>197</v>
      </c>
      <c r="AO27" s="155">
        <v>375</v>
      </c>
      <c r="AP27" s="155" t="s">
        <v>81</v>
      </c>
      <c r="AQ27" s="215">
        <f>[1]Resumen!$E$30</f>
        <v>570.35874999999999</v>
      </c>
      <c r="AR27" s="57">
        <f t="shared" ref="AR27:AR32" si="28">AQ27/AQ26-1</f>
        <v>0.18181818181818188</v>
      </c>
    </row>
    <row r="28" spans="2:44" x14ac:dyDescent="0.3">
      <c r="D28" s="55" t="s">
        <v>78</v>
      </c>
      <c r="E28" s="56">
        <v>375</v>
      </c>
      <c r="F28" s="56" t="s">
        <v>83</v>
      </c>
      <c r="G28" s="207">
        <f>[1]Resumen!$F$6</f>
        <v>357.69699999999995</v>
      </c>
      <c r="H28" s="57">
        <f t="shared" si="22"/>
        <v>0.30769230769230749</v>
      </c>
      <c r="I28" s="70"/>
      <c r="J28" s="55" t="s">
        <v>187</v>
      </c>
      <c r="K28" s="155">
        <v>375</v>
      </c>
      <c r="L28" s="155" t="s">
        <v>83</v>
      </c>
      <c r="M28" s="215">
        <f>[1]Resumen!$F$10</f>
        <v>320.26555000000002</v>
      </c>
      <c r="N28" s="57">
        <f t="shared" si="23"/>
        <v>0.30769230769230771</v>
      </c>
      <c r="P28" s="55" t="s">
        <v>189</v>
      </c>
      <c r="Q28" s="155">
        <v>375</v>
      </c>
      <c r="R28" s="155" t="s">
        <v>83</v>
      </c>
      <c r="S28" s="215">
        <f>[1]Resumen!$F$14</f>
        <v>384.43374999999997</v>
      </c>
      <c r="T28" s="57">
        <f t="shared" si="24"/>
        <v>0.30769230769230771</v>
      </c>
      <c r="V28" s="55" t="s">
        <v>191</v>
      </c>
      <c r="W28" s="155">
        <v>375</v>
      </c>
      <c r="X28" s="155" t="s">
        <v>83</v>
      </c>
      <c r="Y28" s="215">
        <f>[1]Resumen!$F$18</f>
        <v>662.31235000000004</v>
      </c>
      <c r="Z28" s="57">
        <f t="shared" si="25"/>
        <v>0.30769230769230771</v>
      </c>
      <c r="AB28" s="55" t="s">
        <v>193</v>
      </c>
      <c r="AC28" s="155">
        <v>375</v>
      </c>
      <c r="AD28" s="155" t="s">
        <v>83</v>
      </c>
      <c r="AE28" s="215">
        <f>[1]Resumen!$F$22</f>
        <v>632.86749999999995</v>
      </c>
      <c r="AF28" s="57">
        <f t="shared" si="26"/>
        <v>0.30769230769230771</v>
      </c>
      <c r="AH28" s="55" t="s">
        <v>194</v>
      </c>
      <c r="AI28" s="155">
        <v>375</v>
      </c>
      <c r="AJ28" s="155" t="s">
        <v>83</v>
      </c>
      <c r="AK28" s="215">
        <f>[1]Resumen!$F$26</f>
        <v>1066.8324499999999</v>
      </c>
      <c r="AL28" s="57">
        <f t="shared" si="27"/>
        <v>0.30769230769230749</v>
      </c>
      <c r="AN28" s="55" t="s">
        <v>197</v>
      </c>
      <c r="AO28" s="155">
        <v>375</v>
      </c>
      <c r="AP28" s="155" t="s">
        <v>83</v>
      </c>
      <c r="AQ28" s="215">
        <f>[1]Resumen!$F$30</f>
        <v>745.85374999999999</v>
      </c>
      <c r="AR28" s="57">
        <f t="shared" si="28"/>
        <v>0.30769230769230771</v>
      </c>
    </row>
    <row r="29" spans="2:44" x14ac:dyDescent="0.3">
      <c r="D29" s="55" t="s">
        <v>78</v>
      </c>
      <c r="E29" s="56">
        <v>375</v>
      </c>
      <c r="F29" s="56" t="s">
        <v>85</v>
      </c>
      <c r="G29" s="207">
        <f>[1]Resumen!$G$6</f>
        <v>431.34050000000002</v>
      </c>
      <c r="H29" s="57">
        <f t="shared" si="22"/>
        <v>0.20588235294117663</v>
      </c>
      <c r="I29" s="70"/>
      <c r="J29" s="55" t="s">
        <v>187</v>
      </c>
      <c r="K29" s="155">
        <v>375</v>
      </c>
      <c r="L29" s="155" t="s">
        <v>85</v>
      </c>
      <c r="M29" s="215">
        <f>[1]Resumen!$G$10</f>
        <v>386.20257500000002</v>
      </c>
      <c r="N29" s="57">
        <f t="shared" si="23"/>
        <v>0.20588235294117641</v>
      </c>
      <c r="P29" s="55" t="s">
        <v>189</v>
      </c>
      <c r="Q29" s="155">
        <v>375</v>
      </c>
      <c r="R29" s="155" t="s">
        <v>85</v>
      </c>
      <c r="S29" s="215">
        <f>[1]Resumen!$G$14</f>
        <v>463.58187500000003</v>
      </c>
      <c r="T29" s="57">
        <f t="shared" si="24"/>
        <v>0.20588235294117663</v>
      </c>
      <c r="V29" s="55" t="s">
        <v>191</v>
      </c>
      <c r="W29" s="155">
        <v>375</v>
      </c>
      <c r="X29" s="155" t="s">
        <v>85</v>
      </c>
      <c r="Y29" s="215">
        <f>[1]Resumen!$G$18</f>
        <v>798.67077500000005</v>
      </c>
      <c r="Z29" s="57">
        <f t="shared" si="25"/>
        <v>0.20588235294117641</v>
      </c>
      <c r="AB29" s="55" t="s">
        <v>193</v>
      </c>
      <c r="AC29" s="155">
        <v>375</v>
      </c>
      <c r="AD29" s="155" t="s">
        <v>85</v>
      </c>
      <c r="AE29" s="215">
        <f>[1]Resumen!$G$22</f>
        <v>763.16375000000005</v>
      </c>
      <c r="AF29" s="57">
        <f t="shared" si="26"/>
        <v>0.20588235294117663</v>
      </c>
      <c r="AH29" s="55" t="s">
        <v>194</v>
      </c>
      <c r="AI29" s="155">
        <v>375</v>
      </c>
      <c r="AJ29" s="155" t="s">
        <v>85</v>
      </c>
      <c r="AK29" s="215">
        <f>[1]Resumen!$G$26</f>
        <v>1286.4744250000001</v>
      </c>
      <c r="AL29" s="57">
        <f t="shared" si="27"/>
        <v>0.20588235294117663</v>
      </c>
      <c r="AN29" s="55" t="s">
        <v>197</v>
      </c>
      <c r="AO29" s="155">
        <v>375</v>
      </c>
      <c r="AP29" s="155" t="s">
        <v>85</v>
      </c>
      <c r="AQ29" s="215">
        <f>[1]Resumen!$G$30</f>
        <v>899.41187500000001</v>
      </c>
      <c r="AR29" s="57">
        <f t="shared" si="28"/>
        <v>0.20588235294117641</v>
      </c>
    </row>
    <row r="30" spans="2:44" x14ac:dyDescent="0.3">
      <c r="D30" s="55" t="s">
        <v>78</v>
      </c>
      <c r="E30" s="56">
        <v>375</v>
      </c>
      <c r="F30" s="56" t="s">
        <v>87</v>
      </c>
      <c r="G30" s="207">
        <f>[1]Resumen!$H$6</f>
        <v>494.46350000000001</v>
      </c>
      <c r="H30" s="57">
        <f t="shared" si="22"/>
        <v>0.14634146341463405</v>
      </c>
      <c r="I30" s="70"/>
      <c r="J30" s="55" t="s">
        <v>187</v>
      </c>
      <c r="K30" s="155">
        <v>375</v>
      </c>
      <c r="L30" s="155" t="s">
        <v>87</v>
      </c>
      <c r="M30" s="215">
        <f>[1]Resumen!$H$10</f>
        <v>442.72002500000002</v>
      </c>
      <c r="N30" s="57">
        <f t="shared" si="23"/>
        <v>0.14634146341463405</v>
      </c>
      <c r="P30" s="55" t="s">
        <v>189</v>
      </c>
      <c r="Q30" s="155">
        <v>375</v>
      </c>
      <c r="R30" s="155" t="s">
        <v>87</v>
      </c>
      <c r="S30" s="215">
        <f>[1]Resumen!$H$14</f>
        <v>531.42312500000003</v>
      </c>
      <c r="T30" s="57">
        <f t="shared" si="24"/>
        <v>0.14634146341463405</v>
      </c>
      <c r="V30" s="55" t="s">
        <v>191</v>
      </c>
      <c r="W30" s="155">
        <v>375</v>
      </c>
      <c r="X30" s="155" t="s">
        <v>87</v>
      </c>
      <c r="Y30" s="215">
        <f>[1]Resumen!$H$22</f>
        <v>874.84625000000005</v>
      </c>
      <c r="Z30" s="57">
        <f t="shared" si="25"/>
        <v>9.5377816973458263E-2</v>
      </c>
      <c r="AB30" s="55" t="s">
        <v>193</v>
      </c>
      <c r="AC30" s="155">
        <v>375</v>
      </c>
      <c r="AD30" s="155" t="s">
        <v>87</v>
      </c>
      <c r="AE30" s="215">
        <f>[1]Resumen!$H$22</f>
        <v>874.84625000000005</v>
      </c>
      <c r="AF30" s="57">
        <f t="shared" si="26"/>
        <v>0.14634146341463405</v>
      </c>
      <c r="AH30" s="55" t="s">
        <v>194</v>
      </c>
      <c r="AI30" s="155">
        <v>375</v>
      </c>
      <c r="AJ30" s="155" t="s">
        <v>87</v>
      </c>
      <c r="AK30" s="215">
        <f>[1]Resumen!$H$26</f>
        <v>1474.738975</v>
      </c>
      <c r="AL30" s="57">
        <f t="shared" si="27"/>
        <v>0.14634146341463405</v>
      </c>
      <c r="AN30" s="55" t="s">
        <v>197</v>
      </c>
      <c r="AO30" s="155">
        <v>375</v>
      </c>
      <c r="AP30" s="155" t="s">
        <v>87</v>
      </c>
      <c r="AQ30" s="215">
        <f>[1]Resumen!$H$30</f>
        <v>1031.0331249999999</v>
      </c>
      <c r="AR30" s="57">
        <f t="shared" si="28"/>
        <v>0.14634146341463405</v>
      </c>
    </row>
    <row r="31" spans="2:44" x14ac:dyDescent="0.3">
      <c r="D31" s="55" t="s">
        <v>78</v>
      </c>
      <c r="E31" s="56">
        <v>375</v>
      </c>
      <c r="F31" s="56" t="s">
        <v>89</v>
      </c>
      <c r="G31" s="207">
        <f>[1]Resumen!$I$6</f>
        <v>578.62750000000005</v>
      </c>
      <c r="H31" s="57">
        <f t="shared" si="22"/>
        <v>0.17021276595744683</v>
      </c>
      <c r="I31" s="71"/>
      <c r="J31" s="55" t="s">
        <v>187</v>
      </c>
      <c r="K31" s="155">
        <v>375</v>
      </c>
      <c r="L31" s="155" t="s">
        <v>89</v>
      </c>
      <c r="M31" s="215">
        <f>[1]Resumen!$I$10</f>
        <v>518.07662500000004</v>
      </c>
      <c r="N31" s="57">
        <f t="shared" si="23"/>
        <v>0.17021276595744683</v>
      </c>
      <c r="P31" s="55" t="s">
        <v>189</v>
      </c>
      <c r="Q31" s="155">
        <v>375</v>
      </c>
      <c r="R31" s="155" t="s">
        <v>89</v>
      </c>
      <c r="S31" s="215">
        <f>[1]Resumen!$I$14</f>
        <v>621.87812499999995</v>
      </c>
      <c r="T31" s="57">
        <f t="shared" si="24"/>
        <v>0.17021276595744661</v>
      </c>
      <c r="V31" s="55" t="s">
        <v>191</v>
      </c>
      <c r="W31" s="155">
        <v>375</v>
      </c>
      <c r="X31" s="155" t="s">
        <v>89</v>
      </c>
      <c r="Y31" s="215">
        <f>[1]Resumen!$I$22</f>
        <v>1023.75625</v>
      </c>
      <c r="Z31" s="57">
        <f t="shared" si="25"/>
        <v>0.17021276595744683</v>
      </c>
      <c r="AB31" s="55" t="s">
        <v>193</v>
      </c>
      <c r="AC31" s="155">
        <v>375</v>
      </c>
      <c r="AD31" s="155" t="s">
        <v>89</v>
      </c>
      <c r="AE31" s="215">
        <f>[1]Resumen!$I$22</f>
        <v>1023.75625</v>
      </c>
      <c r="AF31" s="57">
        <f t="shared" si="26"/>
        <v>0.17021276595744683</v>
      </c>
      <c r="AH31" s="55" t="s">
        <v>194</v>
      </c>
      <c r="AI31" s="155">
        <v>375</v>
      </c>
      <c r="AJ31" s="155" t="s">
        <v>89</v>
      </c>
      <c r="AK31" s="215">
        <f>[1]Resumen!$I$26</f>
        <v>1725.7583749999999</v>
      </c>
      <c r="AL31" s="57">
        <f t="shared" si="27"/>
        <v>0.17021276595744683</v>
      </c>
      <c r="AN31" s="55" t="s">
        <v>197</v>
      </c>
      <c r="AO31" s="155">
        <v>375</v>
      </c>
      <c r="AP31" s="155" t="s">
        <v>89</v>
      </c>
      <c r="AQ31" s="215">
        <f>[1]Resumen!$I$30</f>
        <v>1206.528125</v>
      </c>
      <c r="AR31" s="57">
        <f t="shared" si="28"/>
        <v>0.17021276595744683</v>
      </c>
    </row>
    <row r="32" spans="2:44" ht="15" thickBot="1" x14ac:dyDescent="0.35">
      <c r="D32" s="61" t="s">
        <v>78</v>
      </c>
      <c r="E32" s="62">
        <v>375</v>
      </c>
      <c r="F32" s="62" t="s">
        <v>91</v>
      </c>
      <c r="G32" s="209">
        <f>[1]Resumen!$J$6</f>
        <v>631.23</v>
      </c>
      <c r="H32" s="57">
        <f t="shared" si="22"/>
        <v>9.0909090909090828E-2</v>
      </c>
      <c r="I32" s="71"/>
      <c r="J32" s="61" t="s">
        <v>187</v>
      </c>
      <c r="K32" s="62">
        <v>375</v>
      </c>
      <c r="L32" s="62" t="s">
        <v>91</v>
      </c>
      <c r="M32" s="218">
        <f>[1]Resumen!$J$10</f>
        <v>565.17450000000008</v>
      </c>
      <c r="N32" s="57">
        <f t="shared" si="23"/>
        <v>9.090909090909105E-2</v>
      </c>
      <c r="P32" s="61" t="s">
        <v>189</v>
      </c>
      <c r="Q32" s="62">
        <v>375</v>
      </c>
      <c r="R32" s="62" t="s">
        <v>91</v>
      </c>
      <c r="S32" s="218">
        <f>[1]Resumen!$J$14</f>
        <v>678.41250000000002</v>
      </c>
      <c r="T32" s="57">
        <f t="shared" si="24"/>
        <v>9.090909090909105E-2</v>
      </c>
      <c r="V32" s="61" t="s">
        <v>191</v>
      </c>
      <c r="W32" s="62">
        <v>375</v>
      </c>
      <c r="X32" s="62" t="s">
        <v>91</v>
      </c>
      <c r="Y32" s="218">
        <f>[1]Resumen!$J$22</f>
        <v>1116.825</v>
      </c>
      <c r="Z32" s="57">
        <f t="shared" si="25"/>
        <v>9.0909090909090828E-2</v>
      </c>
      <c r="AB32" s="61" t="s">
        <v>193</v>
      </c>
      <c r="AC32" s="62">
        <v>375</v>
      </c>
      <c r="AD32" s="62" t="s">
        <v>91</v>
      </c>
      <c r="AE32" s="218">
        <f>[1]Resumen!$J$22</f>
        <v>1116.825</v>
      </c>
      <c r="AF32" s="57">
        <f t="shared" si="26"/>
        <v>9.0909090909090828E-2</v>
      </c>
      <c r="AH32" s="61" t="s">
        <v>194</v>
      </c>
      <c r="AI32" s="62">
        <v>375</v>
      </c>
      <c r="AJ32" s="62" t="s">
        <v>91</v>
      </c>
      <c r="AK32" s="218">
        <f>[1]Resumen!$J$26</f>
        <v>1882.6454999999999</v>
      </c>
      <c r="AL32" s="57">
        <f t="shared" si="27"/>
        <v>9.0909090909090828E-2</v>
      </c>
      <c r="AN32" s="61" t="s">
        <v>197</v>
      </c>
      <c r="AO32" s="62">
        <v>375</v>
      </c>
      <c r="AP32" s="62" t="s">
        <v>91</v>
      </c>
      <c r="AQ32" s="218">
        <f>[1]Resumen!$J$30</f>
        <v>1316.2125000000001</v>
      </c>
      <c r="AR32" s="57">
        <f t="shared" si="28"/>
        <v>9.090909090909105E-2</v>
      </c>
    </row>
    <row r="33" spans="2:51" x14ac:dyDescent="0.3">
      <c r="D33" s="48" t="s">
        <v>78</v>
      </c>
      <c r="E33" s="49">
        <v>480</v>
      </c>
      <c r="F33" s="49" t="s">
        <v>79</v>
      </c>
      <c r="G33" s="211">
        <f>[1]Resumen!$D$7</f>
        <v>250.82728</v>
      </c>
      <c r="H33" s="57"/>
      <c r="I33" s="71"/>
      <c r="J33" s="48" t="s">
        <v>187</v>
      </c>
      <c r="K33" s="49">
        <v>480</v>
      </c>
      <c r="L33" s="49" t="s">
        <v>79</v>
      </c>
      <c r="M33" s="214">
        <f>[1]Resumen!$D$11</f>
        <v>219.825232</v>
      </c>
      <c r="N33" s="57"/>
      <c r="P33" s="48" t="s">
        <v>189</v>
      </c>
      <c r="Q33" s="49">
        <v>480</v>
      </c>
      <c r="R33" s="49" t="s">
        <v>79</v>
      </c>
      <c r="S33" s="214">
        <f>[1]Resumen!$D$15</f>
        <v>272.97160000000002</v>
      </c>
      <c r="T33" s="57"/>
      <c r="V33" s="48" t="s">
        <v>191</v>
      </c>
      <c r="W33" s="49">
        <v>480</v>
      </c>
      <c r="X33" s="49" t="s">
        <v>79</v>
      </c>
      <c r="Y33" s="214">
        <f>[1]Resumen!$D$19</f>
        <v>511.436464</v>
      </c>
      <c r="Z33" s="57"/>
      <c r="AB33" s="48" t="s">
        <v>193</v>
      </c>
      <c r="AC33" s="49">
        <v>480</v>
      </c>
      <c r="AD33" s="49" t="s">
        <v>79</v>
      </c>
      <c r="AE33" s="214">
        <f>[1]Resumen!$D$23</f>
        <v>478.73320000000001</v>
      </c>
      <c r="AF33" s="57"/>
      <c r="AH33" s="48" t="s">
        <v>194</v>
      </c>
      <c r="AI33" s="49">
        <v>480</v>
      </c>
      <c r="AJ33" s="49" t="s">
        <v>79</v>
      </c>
      <c r="AK33" s="214">
        <f>[1]Resumen!$D$27</f>
        <v>829.22628799999995</v>
      </c>
      <c r="AL33" s="57"/>
      <c r="AN33" s="48" t="s">
        <v>197</v>
      </c>
      <c r="AO33" s="49">
        <v>480</v>
      </c>
      <c r="AP33" s="49" t="s">
        <v>79</v>
      </c>
      <c r="AQ33" s="214">
        <f>[1]Resumen!$D$31</f>
        <v>563.38040000000001</v>
      </c>
      <c r="AR33" s="57"/>
    </row>
    <row r="34" spans="2:51" x14ac:dyDescent="0.3">
      <c r="D34" s="55" t="s">
        <v>78</v>
      </c>
      <c r="E34" s="56">
        <v>480</v>
      </c>
      <c r="F34" s="56" t="s">
        <v>81</v>
      </c>
      <c r="G34" s="206">
        <f>[1]Resumen!$E$7</f>
        <v>296.43223999999998</v>
      </c>
      <c r="H34" s="57">
        <f t="shared" ref="H34:H39" si="29">G34/G33-1</f>
        <v>0.18181818181818166</v>
      </c>
      <c r="I34" s="71"/>
      <c r="J34" s="55" t="s">
        <v>187</v>
      </c>
      <c r="K34" s="189">
        <v>480</v>
      </c>
      <c r="L34" s="189" t="s">
        <v>81</v>
      </c>
      <c r="M34" s="215">
        <f>[1]Resumen!$E$11</f>
        <v>259.79345599999999</v>
      </c>
      <c r="N34" s="57">
        <f t="shared" ref="N34:N37" si="30">M34/M33-1</f>
        <v>0.18181818181818188</v>
      </c>
      <c r="P34" s="55" t="s">
        <v>189</v>
      </c>
      <c r="Q34" s="155">
        <v>480</v>
      </c>
      <c r="R34" s="155" t="s">
        <v>81</v>
      </c>
      <c r="S34" s="215">
        <f>[1]Resumen!$E$15</f>
        <v>322.6028</v>
      </c>
      <c r="T34" s="57">
        <f t="shared" ref="T34:T37" si="31">S34/S33-1</f>
        <v>0.18181818181818166</v>
      </c>
      <c r="V34" s="55" t="s">
        <v>191</v>
      </c>
      <c r="W34" s="155">
        <v>480</v>
      </c>
      <c r="X34" s="155" t="s">
        <v>81</v>
      </c>
      <c r="Y34" s="215">
        <f>[1]Resumen!$E$19</f>
        <v>604.42491199999995</v>
      </c>
      <c r="Z34" s="57">
        <f t="shared" ref="Z34:Z37" si="32">Y34/Y33-1</f>
        <v>0.18181818181818166</v>
      </c>
      <c r="AB34" s="55" t="s">
        <v>193</v>
      </c>
      <c r="AC34" s="155">
        <v>480</v>
      </c>
      <c r="AD34" s="155" t="s">
        <v>81</v>
      </c>
      <c r="AE34" s="215">
        <f>[1]Resumen!$E$23</f>
        <v>565.77559999999994</v>
      </c>
      <c r="AF34" s="57">
        <f t="shared" ref="AF34:AF37" si="33">AE34/AE33-1</f>
        <v>0.18181818181818166</v>
      </c>
      <c r="AH34" s="55" t="s">
        <v>194</v>
      </c>
      <c r="AI34" s="155">
        <v>480</v>
      </c>
      <c r="AJ34" s="155" t="s">
        <v>81</v>
      </c>
      <c r="AK34" s="215">
        <f>[1]Resumen!$E$27</f>
        <v>979.99470399999996</v>
      </c>
      <c r="AL34" s="57">
        <f t="shared" ref="AL34:AL37" si="34">AK34/AK33-1</f>
        <v>0.18181818181818188</v>
      </c>
      <c r="AN34" s="55" t="s">
        <v>197</v>
      </c>
      <c r="AO34" s="155">
        <v>480</v>
      </c>
      <c r="AP34" s="155" t="s">
        <v>81</v>
      </c>
      <c r="AQ34" s="215">
        <f>[1]Resumen!$E$31</f>
        <v>665.81319999999994</v>
      </c>
      <c r="AR34" s="57">
        <f t="shared" ref="AR34:AR37" si="35">AQ34/AQ33-1</f>
        <v>0.18181818181818166</v>
      </c>
    </row>
    <row r="35" spans="2:51" x14ac:dyDescent="0.3">
      <c r="D35" s="55" t="s">
        <v>78</v>
      </c>
      <c r="E35" s="56">
        <v>480</v>
      </c>
      <c r="F35" s="56" t="s">
        <v>83</v>
      </c>
      <c r="G35" s="207">
        <f>[1]Resumen!$F$7</f>
        <v>387.64215999999999</v>
      </c>
      <c r="H35" s="57">
        <f t="shared" si="29"/>
        <v>0.30769230769230771</v>
      </c>
      <c r="I35" s="71"/>
      <c r="J35" s="55" t="s">
        <v>187</v>
      </c>
      <c r="K35" s="189">
        <v>480</v>
      </c>
      <c r="L35" s="189" t="s">
        <v>83</v>
      </c>
      <c r="M35" s="215">
        <f>[1]Resumen!$F$11</f>
        <v>339.72990399999998</v>
      </c>
      <c r="N35" s="57">
        <f t="shared" si="30"/>
        <v>0.30769230769230771</v>
      </c>
      <c r="P35" s="55" t="s">
        <v>189</v>
      </c>
      <c r="Q35" s="155">
        <v>480</v>
      </c>
      <c r="R35" s="155" t="s">
        <v>83</v>
      </c>
      <c r="S35" s="215">
        <f>[1]Resumen!$F$15</f>
        <v>421.86520000000002</v>
      </c>
      <c r="T35" s="57">
        <f t="shared" si="31"/>
        <v>0.30769230769230771</v>
      </c>
      <c r="V35" s="55" t="s">
        <v>191</v>
      </c>
      <c r="W35" s="155">
        <v>480</v>
      </c>
      <c r="X35" s="155" t="s">
        <v>83</v>
      </c>
      <c r="Y35" s="215">
        <f>[1]Resumen!$F$19</f>
        <v>790.40180800000007</v>
      </c>
      <c r="Z35" s="57">
        <f t="shared" si="32"/>
        <v>0.30769230769230793</v>
      </c>
      <c r="AB35" s="55" t="s">
        <v>193</v>
      </c>
      <c r="AC35" s="155">
        <v>480</v>
      </c>
      <c r="AD35" s="155" t="s">
        <v>83</v>
      </c>
      <c r="AE35" s="215">
        <f>[1]Resumen!$F$23</f>
        <v>739.86039999999991</v>
      </c>
      <c r="AF35" s="57">
        <f t="shared" si="33"/>
        <v>0.30769230769230771</v>
      </c>
      <c r="AH35" s="55" t="s">
        <v>194</v>
      </c>
      <c r="AI35" s="155">
        <v>480</v>
      </c>
      <c r="AJ35" s="155" t="s">
        <v>83</v>
      </c>
      <c r="AK35" s="215">
        <f>[1]Resumen!$F$27</f>
        <v>1281.5315359999997</v>
      </c>
      <c r="AL35" s="57">
        <f t="shared" si="34"/>
        <v>0.30769230769230749</v>
      </c>
      <c r="AN35" s="55" t="s">
        <v>197</v>
      </c>
      <c r="AO35" s="155">
        <v>480</v>
      </c>
      <c r="AP35" s="155" t="s">
        <v>83</v>
      </c>
      <c r="AQ35" s="215">
        <f>[1]Resumen!$F$31</f>
        <v>870.67880000000002</v>
      </c>
      <c r="AR35" s="57">
        <f t="shared" si="35"/>
        <v>0.30769230769230793</v>
      </c>
    </row>
    <row r="36" spans="2:51" x14ac:dyDescent="0.3">
      <c r="D36" s="55" t="s">
        <v>78</v>
      </c>
      <c r="E36" s="56">
        <v>480</v>
      </c>
      <c r="F36" s="56" t="s">
        <v>85</v>
      </c>
      <c r="G36" s="207">
        <f>[1]Resumen!$G$7</f>
        <v>467.45084000000003</v>
      </c>
      <c r="H36" s="57">
        <f t="shared" si="29"/>
        <v>0.20588235294117663</v>
      </c>
      <c r="I36" s="71"/>
      <c r="J36" s="55" t="s">
        <v>187</v>
      </c>
      <c r="K36" s="189">
        <v>480</v>
      </c>
      <c r="L36" s="189" t="s">
        <v>85</v>
      </c>
      <c r="M36" s="215">
        <f>[1]Resumen!$G$11</f>
        <v>409.67429599999997</v>
      </c>
      <c r="N36" s="57">
        <f t="shared" si="30"/>
        <v>0.20588235294117641</v>
      </c>
      <c r="P36" s="55" t="s">
        <v>189</v>
      </c>
      <c r="Q36" s="155">
        <v>480</v>
      </c>
      <c r="R36" s="155" t="s">
        <v>85</v>
      </c>
      <c r="S36" s="215">
        <f>[1]Resumen!$G$15</f>
        <v>508.71980000000002</v>
      </c>
      <c r="T36" s="57">
        <f t="shared" si="31"/>
        <v>0.20588235294117641</v>
      </c>
      <c r="V36" s="55" t="s">
        <v>191</v>
      </c>
      <c r="W36" s="155">
        <v>480</v>
      </c>
      <c r="X36" s="155" t="s">
        <v>85</v>
      </c>
      <c r="Y36" s="215">
        <f>[1]Resumen!$G$19</f>
        <v>953.13159199999996</v>
      </c>
      <c r="Z36" s="57">
        <f t="shared" si="32"/>
        <v>0.20588235294117641</v>
      </c>
      <c r="AB36" s="55" t="s">
        <v>193</v>
      </c>
      <c r="AC36" s="155">
        <v>480</v>
      </c>
      <c r="AD36" s="155" t="s">
        <v>85</v>
      </c>
      <c r="AE36" s="215">
        <f>[1]Resumen!$G$23</f>
        <v>892.18459999999993</v>
      </c>
      <c r="AF36" s="57">
        <f t="shared" si="33"/>
        <v>0.20588235294117663</v>
      </c>
      <c r="AH36" s="55" t="s">
        <v>194</v>
      </c>
      <c r="AI36" s="155">
        <v>480</v>
      </c>
      <c r="AJ36" s="155" t="s">
        <v>85</v>
      </c>
      <c r="AK36" s="215">
        <f>[1]Resumen!$G$27</f>
        <v>1545.3762639999998</v>
      </c>
      <c r="AL36" s="57">
        <f t="shared" si="34"/>
        <v>0.20588235294117663</v>
      </c>
      <c r="AN36" s="55" t="s">
        <v>197</v>
      </c>
      <c r="AO36" s="155">
        <v>480</v>
      </c>
      <c r="AP36" s="155" t="s">
        <v>85</v>
      </c>
      <c r="AQ36" s="215">
        <f>[1]Resumen!$G$31</f>
        <v>1049.9361999999999</v>
      </c>
      <c r="AR36" s="57">
        <f t="shared" si="35"/>
        <v>0.20588235294117618</v>
      </c>
    </row>
    <row r="37" spans="2:51" x14ac:dyDescent="0.3">
      <c r="D37" s="55" t="s">
        <v>78</v>
      </c>
      <c r="E37" s="56">
        <v>480</v>
      </c>
      <c r="F37" s="56" t="s">
        <v>87</v>
      </c>
      <c r="G37" s="207">
        <f>[1]Resumen!$H$7</f>
        <v>535.85828000000004</v>
      </c>
      <c r="H37" s="57">
        <f t="shared" si="29"/>
        <v>0.14634146341463405</v>
      </c>
      <c r="I37" s="71"/>
      <c r="J37" s="55" t="s">
        <v>187</v>
      </c>
      <c r="K37" s="189">
        <v>480</v>
      </c>
      <c r="L37" s="189" t="s">
        <v>87</v>
      </c>
      <c r="M37" s="215">
        <f>[1]Resumen!$H$11</f>
        <v>469.62663199999997</v>
      </c>
      <c r="N37" s="57">
        <f t="shared" si="30"/>
        <v>0.14634146341463405</v>
      </c>
      <c r="P37" s="55" t="s">
        <v>189</v>
      </c>
      <c r="Q37" s="155">
        <v>480</v>
      </c>
      <c r="R37" s="155" t="s">
        <v>87</v>
      </c>
      <c r="S37" s="215">
        <f>[1]Resumen!$H$15</f>
        <v>583.16660000000002</v>
      </c>
      <c r="T37" s="57">
        <f t="shared" si="31"/>
        <v>0.14634146341463405</v>
      </c>
      <c r="V37" s="55" t="s">
        <v>191</v>
      </c>
      <c r="W37" s="155">
        <v>480</v>
      </c>
      <c r="X37" s="155" t="s">
        <v>87</v>
      </c>
      <c r="Y37" s="215">
        <f>[1]Resumen!$H$19</f>
        <v>1092.614264</v>
      </c>
      <c r="Z37" s="57">
        <f t="shared" si="32"/>
        <v>0.14634146341463428</v>
      </c>
      <c r="AB37" s="55" t="s">
        <v>193</v>
      </c>
      <c r="AC37" s="155">
        <v>480</v>
      </c>
      <c r="AD37" s="155" t="s">
        <v>87</v>
      </c>
      <c r="AE37" s="215">
        <f>[1]Resumen!$H$23</f>
        <v>1022.7481999999999</v>
      </c>
      <c r="AF37" s="57">
        <f t="shared" si="33"/>
        <v>0.14634146341463405</v>
      </c>
      <c r="AH37" s="55" t="s">
        <v>194</v>
      </c>
      <c r="AI37" s="155">
        <v>480</v>
      </c>
      <c r="AJ37" s="155" t="s">
        <v>87</v>
      </c>
      <c r="AK37" s="215">
        <f>[1]Resumen!$H$27</f>
        <v>1771.5288879999998</v>
      </c>
      <c r="AL37" s="57">
        <f t="shared" si="34"/>
        <v>0.14634146341463428</v>
      </c>
      <c r="AN37" s="55" t="s">
        <v>197</v>
      </c>
      <c r="AO37" s="155">
        <v>480</v>
      </c>
      <c r="AP37" s="155" t="s">
        <v>87</v>
      </c>
      <c r="AQ37" s="215">
        <f>[1]Resumen!$H$31</f>
        <v>1203.5853999999999</v>
      </c>
      <c r="AR37" s="57">
        <f t="shared" si="35"/>
        <v>0.14634146341463428</v>
      </c>
    </row>
    <row r="38" spans="2:51" x14ac:dyDescent="0.3">
      <c r="D38" s="55" t="s">
        <v>78</v>
      </c>
      <c r="E38" s="56">
        <v>480</v>
      </c>
      <c r="F38" s="56" t="s">
        <v>89</v>
      </c>
      <c r="G38" s="207">
        <f>[1]Resumen!$I$7</f>
        <v>627.06820000000005</v>
      </c>
      <c r="H38" s="57">
        <f>G38/G37-1</f>
        <v>0.17021276595744683</v>
      </c>
      <c r="I38" s="71"/>
      <c r="J38" s="55" t="s">
        <v>187</v>
      </c>
      <c r="K38" s="189">
        <v>480</v>
      </c>
      <c r="L38" s="189" t="s">
        <v>89</v>
      </c>
      <c r="M38" s="215">
        <f>[1]Resumen!$I$11</f>
        <v>549.56308000000001</v>
      </c>
      <c r="N38" s="57">
        <f>M38/M37-1</f>
        <v>0.17021276595744683</v>
      </c>
      <c r="P38" s="55" t="s">
        <v>189</v>
      </c>
      <c r="Q38" s="155">
        <v>480</v>
      </c>
      <c r="R38" s="155" t="s">
        <v>89</v>
      </c>
      <c r="S38" s="215">
        <f>[1]Resumen!$I$15</f>
        <v>682.42900000000009</v>
      </c>
      <c r="T38" s="57">
        <f>S38/S37-1</f>
        <v>0.17021276595744683</v>
      </c>
      <c r="V38" s="55" t="s">
        <v>191</v>
      </c>
      <c r="W38" s="155">
        <v>480</v>
      </c>
      <c r="X38" s="155" t="s">
        <v>89</v>
      </c>
      <c r="Y38" s="215">
        <f>[1]Resumen!$I$19</f>
        <v>1278.5911599999999</v>
      </c>
      <c r="Z38" s="57">
        <f>Y38/Y37-1</f>
        <v>0.17021276595744661</v>
      </c>
      <c r="AB38" s="55" t="s">
        <v>193</v>
      </c>
      <c r="AC38" s="155">
        <v>480</v>
      </c>
      <c r="AD38" s="155" t="s">
        <v>89</v>
      </c>
      <c r="AE38" s="215">
        <f>[1]Resumen!$I$23</f>
        <v>1196.8330000000001</v>
      </c>
      <c r="AF38" s="57">
        <f>AE38/AE37-1</f>
        <v>0.17021276595744705</v>
      </c>
      <c r="AH38" s="55" t="s">
        <v>194</v>
      </c>
      <c r="AI38" s="155">
        <v>480</v>
      </c>
      <c r="AJ38" s="155" t="s">
        <v>89</v>
      </c>
      <c r="AK38" s="215">
        <f>[1]Resumen!$I$27</f>
        <v>2073.0657200000001</v>
      </c>
      <c r="AL38" s="57">
        <f>AK38/AK37-1</f>
        <v>0.17021276595744705</v>
      </c>
      <c r="AN38" s="55" t="s">
        <v>197</v>
      </c>
      <c r="AO38" s="155">
        <v>480</v>
      </c>
      <c r="AP38" s="155" t="s">
        <v>89</v>
      </c>
      <c r="AQ38" s="215">
        <f>[1]Resumen!$I$31</f>
        <v>1408.451</v>
      </c>
      <c r="AR38" s="57">
        <f>AQ38/AQ37-1</f>
        <v>0.17021276595744683</v>
      </c>
    </row>
    <row r="39" spans="2:51" ht="15" thickBot="1" x14ac:dyDescent="0.35">
      <c r="D39" s="34" t="s">
        <v>78</v>
      </c>
      <c r="E39" s="72">
        <v>480</v>
      </c>
      <c r="F39" s="72" t="s">
        <v>91</v>
      </c>
      <c r="G39" s="213">
        <f>[1]Resumen!$J$7</f>
        <v>684.07439999999997</v>
      </c>
      <c r="H39" s="57">
        <f t="shared" si="29"/>
        <v>9.0909090909090828E-2</v>
      </c>
      <c r="I39" s="71"/>
      <c r="J39" s="34" t="s">
        <v>187</v>
      </c>
      <c r="K39" s="72">
        <v>480</v>
      </c>
      <c r="L39" s="72" t="s">
        <v>91</v>
      </c>
      <c r="M39" s="216">
        <f>[1]Resumen!$J$11</f>
        <v>599.52335999999991</v>
      </c>
      <c r="N39" s="57">
        <f t="shared" ref="N39" si="36">M39/M38-1</f>
        <v>9.0909090909090828E-2</v>
      </c>
      <c r="P39" s="34" t="s">
        <v>189</v>
      </c>
      <c r="Q39" s="72">
        <v>480</v>
      </c>
      <c r="R39" s="72" t="s">
        <v>91</v>
      </c>
      <c r="S39" s="216">
        <f>[1]Resumen!$J$15</f>
        <v>744.46800000000007</v>
      </c>
      <c r="T39" s="57">
        <f t="shared" ref="T39" si="37">S39/S38-1</f>
        <v>9.0909090909090828E-2</v>
      </c>
      <c r="V39" s="34" t="s">
        <v>191</v>
      </c>
      <c r="W39" s="72">
        <v>480</v>
      </c>
      <c r="X39" s="72" t="s">
        <v>91</v>
      </c>
      <c r="Y39" s="216">
        <f>[1]Resumen!$J$19</f>
        <v>1394.82672</v>
      </c>
      <c r="Z39" s="57">
        <f t="shared" ref="Z39" si="38">Y39/Y38-1</f>
        <v>9.090909090909105E-2</v>
      </c>
      <c r="AB39" s="34" t="s">
        <v>193</v>
      </c>
      <c r="AC39" s="72">
        <v>480</v>
      </c>
      <c r="AD39" s="72" t="s">
        <v>91</v>
      </c>
      <c r="AE39" s="216">
        <f>[1]Resumen!$J$23</f>
        <v>1305.636</v>
      </c>
      <c r="AF39" s="57">
        <f t="shared" ref="AF39" si="39">AE39/AE38-1</f>
        <v>9.0909090909090828E-2</v>
      </c>
      <c r="AH39" s="34" t="s">
        <v>194</v>
      </c>
      <c r="AI39" s="72">
        <v>480</v>
      </c>
      <c r="AJ39" s="72" t="s">
        <v>91</v>
      </c>
      <c r="AK39" s="216">
        <f>[1]Resumen!$J$27</f>
        <v>2261.5262399999997</v>
      </c>
      <c r="AL39" s="57">
        <f t="shared" ref="AL39" si="40">AK39/AK38-1</f>
        <v>9.0909090909090828E-2</v>
      </c>
      <c r="AN39" s="34" t="s">
        <v>197</v>
      </c>
      <c r="AO39" s="72">
        <v>480</v>
      </c>
      <c r="AP39" s="72" t="s">
        <v>91</v>
      </c>
      <c r="AQ39" s="216">
        <f>[1]Resumen!$J$31</f>
        <v>1536.4919999999997</v>
      </c>
      <c r="AR39" s="57">
        <f t="shared" ref="AR39" si="41">AQ39/AQ38-1</f>
        <v>9.0909090909090606E-2</v>
      </c>
    </row>
    <row r="40" spans="2:51" ht="15" customHeight="1" x14ac:dyDescent="0.3">
      <c r="D40" s="361" t="s">
        <v>93</v>
      </c>
      <c r="E40" s="361"/>
      <c r="F40" s="361"/>
      <c r="G40" s="361"/>
      <c r="H40" s="261"/>
      <c r="I40" s="261"/>
      <c r="J40" s="361" t="s">
        <v>188</v>
      </c>
      <c r="K40" s="361"/>
      <c r="L40" s="361"/>
      <c r="M40" s="361"/>
      <c r="N40" s="261"/>
      <c r="O40" s="261"/>
      <c r="P40" s="264" t="s">
        <v>190</v>
      </c>
      <c r="Q40" s="264"/>
      <c r="R40" s="264"/>
      <c r="S40" s="264"/>
      <c r="T40" s="263"/>
      <c r="U40" s="263"/>
      <c r="V40" s="368" t="s">
        <v>192</v>
      </c>
      <c r="W40" s="368"/>
      <c r="X40" s="368"/>
      <c r="Y40" s="368"/>
      <c r="Z40" s="368"/>
      <c r="AA40" s="263"/>
      <c r="AB40" s="265" t="s">
        <v>195</v>
      </c>
      <c r="AC40" s="263"/>
      <c r="AD40" s="263"/>
      <c r="AG40" s="263"/>
      <c r="AH40" s="365" t="s">
        <v>196</v>
      </c>
      <c r="AI40" s="365"/>
      <c r="AJ40" s="365"/>
      <c r="AK40" s="365"/>
      <c r="AN40" s="368" t="s">
        <v>198</v>
      </c>
      <c r="AO40" s="368"/>
      <c r="AP40" s="368"/>
      <c r="AQ40" s="368"/>
      <c r="AR40" s="368"/>
      <c r="AU40" s="263"/>
      <c r="AV40" s="263"/>
      <c r="AW40" s="263"/>
      <c r="AX40" s="263"/>
      <c r="AY40" s="263"/>
    </row>
    <row r="41" spans="2:51" ht="15" customHeight="1" x14ac:dyDescent="0.3">
      <c r="D41" s="362" t="s">
        <v>94</v>
      </c>
      <c r="E41" s="362"/>
      <c r="F41" s="362"/>
      <c r="G41" s="362"/>
      <c r="H41" s="262"/>
      <c r="I41" s="262"/>
      <c r="J41" s="362" t="s">
        <v>94</v>
      </c>
      <c r="K41" s="362"/>
      <c r="L41" s="362"/>
      <c r="M41" s="362"/>
      <c r="N41" s="262"/>
      <c r="O41" s="262"/>
      <c r="P41" s="362" t="s">
        <v>94</v>
      </c>
      <c r="Q41" s="362"/>
      <c r="R41" s="362"/>
      <c r="S41" s="362"/>
      <c r="T41" s="262"/>
      <c r="U41" s="262"/>
      <c r="V41" s="362" t="s">
        <v>94</v>
      </c>
      <c r="W41" s="362"/>
      <c r="X41" s="362"/>
      <c r="Y41" s="362"/>
      <c r="Z41" s="362"/>
      <c r="AA41" s="262"/>
      <c r="AB41" s="362" t="s">
        <v>94</v>
      </c>
      <c r="AC41" s="362"/>
      <c r="AD41" s="362"/>
      <c r="AE41" s="362"/>
      <c r="AG41" s="262"/>
      <c r="AH41" s="362" t="s">
        <v>94</v>
      </c>
      <c r="AI41" s="362"/>
      <c r="AJ41" s="362"/>
      <c r="AK41" s="362"/>
      <c r="AN41" s="362" t="s">
        <v>94</v>
      </c>
      <c r="AO41" s="362"/>
      <c r="AP41" s="362"/>
      <c r="AQ41" s="362"/>
      <c r="AR41" s="362"/>
      <c r="AU41" s="262"/>
      <c r="AV41" s="262"/>
      <c r="AW41" s="262"/>
      <c r="AX41" s="262"/>
      <c r="AY41" s="262"/>
    </row>
    <row r="42" spans="2:51" x14ac:dyDescent="0.3">
      <c r="D42" s="362"/>
      <c r="E42" s="362"/>
      <c r="F42" s="362"/>
      <c r="G42" s="362"/>
      <c r="H42" s="262"/>
      <c r="I42" s="262"/>
      <c r="J42" s="362"/>
      <c r="K42" s="362"/>
      <c r="L42" s="362"/>
      <c r="M42" s="362"/>
      <c r="N42" s="262"/>
      <c r="O42" s="262"/>
      <c r="P42" s="362"/>
      <c r="Q42" s="362"/>
      <c r="R42" s="362"/>
      <c r="S42" s="362"/>
      <c r="T42" s="262"/>
      <c r="U42" s="262"/>
      <c r="V42" s="362"/>
      <c r="W42" s="362"/>
      <c r="X42" s="362"/>
      <c r="Y42" s="362"/>
      <c r="Z42" s="362"/>
      <c r="AA42" s="262"/>
      <c r="AB42" s="362"/>
      <c r="AC42" s="362"/>
      <c r="AD42" s="362"/>
      <c r="AE42" s="362"/>
      <c r="AF42" s="262"/>
      <c r="AG42" s="262"/>
      <c r="AH42" s="362"/>
      <c r="AI42" s="362"/>
      <c r="AJ42" s="362"/>
      <c r="AK42" s="362"/>
      <c r="AM42" s="262"/>
      <c r="AN42" s="362"/>
      <c r="AO42" s="362"/>
      <c r="AP42" s="362"/>
      <c r="AQ42" s="362"/>
      <c r="AR42" s="362"/>
      <c r="AT42" s="262"/>
      <c r="AU42" s="262"/>
      <c r="AV42" s="262"/>
      <c r="AW42" s="262"/>
      <c r="AX42" s="262"/>
      <c r="AY42" s="262"/>
    </row>
    <row r="43" spans="2:51" x14ac:dyDescent="0.3">
      <c r="D43" s="301"/>
      <c r="E43" s="301"/>
      <c r="F43" s="301"/>
      <c r="G43" s="301"/>
      <c r="H43" s="262"/>
      <c r="I43" s="262"/>
      <c r="J43" s="301"/>
      <c r="K43" s="301"/>
      <c r="L43" s="301"/>
      <c r="M43" s="301"/>
      <c r="N43" s="262"/>
      <c r="O43" s="262"/>
      <c r="P43" s="301"/>
      <c r="Q43" s="301"/>
      <c r="R43" s="301"/>
      <c r="S43" s="301"/>
      <c r="T43" s="262"/>
      <c r="U43" s="262"/>
      <c r="V43" s="301"/>
      <c r="W43" s="301"/>
      <c r="X43" s="301"/>
      <c r="Y43" s="301"/>
      <c r="Z43" s="301"/>
      <c r="AA43" s="262"/>
      <c r="AB43" s="301"/>
      <c r="AC43" s="301"/>
      <c r="AD43" s="301"/>
      <c r="AE43" s="301"/>
      <c r="AF43" s="262"/>
      <c r="AG43" s="262"/>
      <c r="AH43" s="301"/>
      <c r="AI43" s="301"/>
      <c r="AJ43" s="301"/>
      <c r="AK43" s="301"/>
      <c r="AM43" s="262"/>
      <c r="AN43" s="301"/>
      <c r="AO43" s="301"/>
      <c r="AP43" s="301"/>
      <c r="AQ43" s="301"/>
      <c r="AR43" s="301"/>
      <c r="AT43" s="262"/>
      <c r="AU43" s="262"/>
      <c r="AV43" s="262"/>
      <c r="AW43" s="262"/>
      <c r="AX43" s="262"/>
      <c r="AY43" s="262"/>
    </row>
    <row r="44" spans="2:51" s="201" customFormat="1" ht="15" thickBot="1" x14ac:dyDescent="0.35">
      <c r="D44" s="202" t="s">
        <v>304</v>
      </c>
    </row>
    <row r="45" spans="2:51" ht="30.75" customHeight="1" thickBot="1" x14ac:dyDescent="0.35">
      <c r="B45" s="176" t="s">
        <v>203</v>
      </c>
      <c r="D45" s="130" t="s">
        <v>52</v>
      </c>
      <c r="E45" s="131" t="s">
        <v>75</v>
      </c>
      <c r="F45" s="131" t="s">
        <v>11</v>
      </c>
      <c r="G45" s="132" t="s">
        <v>76</v>
      </c>
      <c r="H45" s="133" t="s">
        <v>52</v>
      </c>
      <c r="I45" s="44" t="s">
        <v>75</v>
      </c>
      <c r="J45" s="44" t="s">
        <v>11</v>
      </c>
      <c r="K45" s="45" t="s">
        <v>76</v>
      </c>
      <c r="M45" s="159" t="s">
        <v>52</v>
      </c>
      <c r="N45" s="160" t="s">
        <v>75</v>
      </c>
      <c r="O45" s="160" t="s">
        <v>11</v>
      </c>
      <c r="P45" s="161" t="s">
        <v>76</v>
      </c>
      <c r="Q45" s="46"/>
    </row>
    <row r="46" spans="2:51" x14ac:dyDescent="0.3">
      <c r="B46" s="174" t="s">
        <v>151</v>
      </c>
      <c r="D46" s="128" t="s">
        <v>151</v>
      </c>
      <c r="E46" s="88">
        <v>120</v>
      </c>
      <c r="F46" s="88" t="s">
        <v>79</v>
      </c>
      <c r="G46" s="228">
        <v>293.92962560000001</v>
      </c>
      <c r="H46" s="48" t="s">
        <v>152</v>
      </c>
      <c r="I46" s="49">
        <v>120</v>
      </c>
      <c r="J46" s="49" t="s">
        <v>79</v>
      </c>
      <c r="K46" s="233">
        <v>250.70822399999997</v>
      </c>
      <c r="M46" s="128" t="s">
        <v>199</v>
      </c>
      <c r="N46" s="49">
        <v>120</v>
      </c>
      <c r="O46" s="88" t="s">
        <v>79</v>
      </c>
      <c r="P46" s="217">
        <f>K46</f>
        <v>250.70822399999997</v>
      </c>
      <c r="Q46" s="50"/>
      <c r="V46" s="154"/>
      <c r="W46" s="154"/>
      <c r="X46" s="154"/>
      <c r="Y46" s="154"/>
      <c r="Z46" s="154"/>
      <c r="AA46" s="154"/>
      <c r="AB46" s="154"/>
      <c r="AC46" s="154"/>
    </row>
    <row r="47" spans="2:51" x14ac:dyDescent="0.3">
      <c r="B47" s="174" t="s">
        <v>152</v>
      </c>
      <c r="D47" s="55" t="s">
        <v>151</v>
      </c>
      <c r="E47" s="134">
        <v>120</v>
      </c>
      <c r="F47" s="134" t="s">
        <v>81</v>
      </c>
      <c r="G47" s="229">
        <v>367.41203200000001</v>
      </c>
      <c r="H47" s="55" t="s">
        <v>152</v>
      </c>
      <c r="I47" s="134">
        <v>120</v>
      </c>
      <c r="J47" s="134" t="s">
        <v>81</v>
      </c>
      <c r="K47" s="234">
        <v>313.38527999999997</v>
      </c>
      <c r="M47" s="55" t="s">
        <v>199</v>
      </c>
      <c r="N47" s="257">
        <v>120</v>
      </c>
      <c r="O47" s="155" t="s">
        <v>81</v>
      </c>
      <c r="P47" s="217">
        <f t="shared" ref="P47:P73" si="42">K47</f>
        <v>313.38527999999997</v>
      </c>
      <c r="Q47" s="57"/>
      <c r="V47" s="154"/>
      <c r="W47" s="154"/>
      <c r="X47" s="154"/>
      <c r="Y47" s="154"/>
      <c r="Z47" s="154"/>
      <c r="AA47" s="154"/>
      <c r="AB47" s="154"/>
      <c r="AC47" s="154"/>
    </row>
    <row r="48" spans="2:51" ht="15" thickBot="1" x14ac:dyDescent="0.35">
      <c r="B48" s="175" t="s">
        <v>199</v>
      </c>
      <c r="D48" s="55" t="s">
        <v>151</v>
      </c>
      <c r="E48" s="134">
        <v>120</v>
      </c>
      <c r="F48" s="134" t="s">
        <v>83</v>
      </c>
      <c r="G48" s="229">
        <v>480.46188800000004</v>
      </c>
      <c r="H48" s="55" t="s">
        <v>152</v>
      </c>
      <c r="I48" s="134">
        <v>120</v>
      </c>
      <c r="J48" s="134" t="s">
        <v>83</v>
      </c>
      <c r="K48" s="234">
        <v>409.81151999999997</v>
      </c>
      <c r="M48" s="55" t="s">
        <v>199</v>
      </c>
      <c r="N48" s="257">
        <v>120</v>
      </c>
      <c r="O48" s="155" t="s">
        <v>83</v>
      </c>
      <c r="P48" s="217">
        <f t="shared" si="42"/>
        <v>409.81151999999997</v>
      </c>
      <c r="Q48" s="57"/>
      <c r="V48" s="154"/>
      <c r="W48" s="154"/>
      <c r="X48" s="154"/>
      <c r="Y48" s="154"/>
      <c r="Z48" s="154"/>
      <c r="AA48" s="154"/>
      <c r="AB48" s="154"/>
      <c r="AC48" s="154"/>
    </row>
    <row r="49" spans="2:29" x14ac:dyDescent="0.3">
      <c r="D49" s="55" t="s">
        <v>151</v>
      </c>
      <c r="E49" s="134">
        <v>120</v>
      </c>
      <c r="F49" s="134" t="s">
        <v>85</v>
      </c>
      <c r="G49" s="229">
        <v>579.38051200000007</v>
      </c>
      <c r="H49" s="55" t="s">
        <v>152</v>
      </c>
      <c r="I49" s="134">
        <v>120</v>
      </c>
      <c r="J49" s="134" t="s">
        <v>85</v>
      </c>
      <c r="K49" s="234">
        <v>494.18447999999995</v>
      </c>
      <c r="M49" s="55" t="s">
        <v>199</v>
      </c>
      <c r="N49" s="257">
        <v>120</v>
      </c>
      <c r="O49" s="155" t="s">
        <v>85</v>
      </c>
      <c r="P49" s="217">
        <f t="shared" si="42"/>
        <v>494.18447999999995</v>
      </c>
      <c r="Q49" s="57"/>
      <c r="V49" s="154"/>
      <c r="W49" s="154"/>
      <c r="X49" s="154"/>
      <c r="Y49" s="154"/>
      <c r="Z49" s="154"/>
      <c r="AA49" s="154"/>
      <c r="AB49" s="154"/>
      <c r="AC49" s="154"/>
    </row>
    <row r="50" spans="2:29" x14ac:dyDescent="0.3">
      <c r="B50" s="1">
        <v>120</v>
      </c>
      <c r="D50" s="55" t="s">
        <v>151</v>
      </c>
      <c r="E50" s="134">
        <v>120</v>
      </c>
      <c r="F50" s="134" t="s">
        <v>87</v>
      </c>
      <c r="G50" s="229">
        <v>664.16790400000002</v>
      </c>
      <c r="H50" s="55" t="s">
        <v>152</v>
      </c>
      <c r="I50" s="134">
        <v>120</v>
      </c>
      <c r="J50" s="134" t="s">
        <v>87</v>
      </c>
      <c r="K50" s="234">
        <v>566.50415999999996</v>
      </c>
      <c r="M50" s="55" t="s">
        <v>199</v>
      </c>
      <c r="N50" s="257">
        <v>120</v>
      </c>
      <c r="O50" s="155" t="s">
        <v>87</v>
      </c>
      <c r="P50" s="217">
        <f t="shared" si="42"/>
        <v>566.50415999999996</v>
      </c>
      <c r="Q50" s="57"/>
      <c r="V50" s="154"/>
      <c r="W50" s="154"/>
      <c r="X50" s="154"/>
      <c r="Y50" s="154"/>
      <c r="Z50" s="154"/>
      <c r="AA50" s="154"/>
      <c r="AB50" s="154"/>
      <c r="AC50" s="154"/>
    </row>
    <row r="51" spans="2:29" x14ac:dyDescent="0.3">
      <c r="B51" s="1">
        <v>225</v>
      </c>
      <c r="D51" s="55" t="s">
        <v>151</v>
      </c>
      <c r="E51" s="134">
        <v>120</v>
      </c>
      <c r="F51" s="134" t="s">
        <v>89</v>
      </c>
      <c r="G51" s="229">
        <v>777.21776</v>
      </c>
      <c r="H51" s="55" t="s">
        <v>152</v>
      </c>
      <c r="I51" s="134">
        <v>120</v>
      </c>
      <c r="J51" s="134" t="s">
        <v>89</v>
      </c>
      <c r="K51" s="234">
        <v>662.93039999999996</v>
      </c>
      <c r="M51" s="55" t="s">
        <v>199</v>
      </c>
      <c r="N51" s="257">
        <v>120</v>
      </c>
      <c r="O51" s="155" t="s">
        <v>89</v>
      </c>
      <c r="P51" s="217">
        <f t="shared" si="42"/>
        <v>662.93039999999996</v>
      </c>
      <c r="Q51" s="57"/>
      <c r="V51" s="154"/>
      <c r="W51" s="154"/>
      <c r="X51" s="154"/>
      <c r="Y51" s="154"/>
      <c r="Z51" s="154"/>
      <c r="AA51" s="154"/>
      <c r="AB51" s="154"/>
      <c r="AC51" s="154"/>
    </row>
    <row r="52" spans="2:29" ht="15" thickBot="1" x14ac:dyDescent="0.35">
      <c r="B52" s="1">
        <v>375</v>
      </c>
      <c r="D52" s="61" t="s">
        <v>151</v>
      </c>
      <c r="E52" s="62">
        <v>120</v>
      </c>
      <c r="F52" s="62" t="s">
        <v>91</v>
      </c>
      <c r="G52" s="230">
        <v>904.39884800000004</v>
      </c>
      <c r="H52" s="34" t="s">
        <v>152</v>
      </c>
      <c r="I52" s="72">
        <v>120</v>
      </c>
      <c r="J52" s="72" t="s">
        <v>91</v>
      </c>
      <c r="K52" s="235">
        <v>771.40991999999994</v>
      </c>
      <c r="M52" s="61" t="s">
        <v>199</v>
      </c>
      <c r="N52" s="62">
        <v>120</v>
      </c>
      <c r="O52" s="62" t="s">
        <v>91</v>
      </c>
      <c r="P52" s="302">
        <f t="shared" si="42"/>
        <v>771.40991999999994</v>
      </c>
      <c r="Q52" s="57"/>
      <c r="V52" s="154"/>
      <c r="W52" s="154"/>
      <c r="X52" s="154"/>
      <c r="Y52" s="154"/>
      <c r="Z52" s="154"/>
      <c r="AA52" s="154"/>
      <c r="AB52" s="154"/>
      <c r="AC52" s="154"/>
    </row>
    <row r="53" spans="2:29" x14ac:dyDescent="0.3">
      <c r="B53" s="1">
        <v>575</v>
      </c>
      <c r="D53" s="48" t="s">
        <v>151</v>
      </c>
      <c r="E53" s="49">
        <v>225</v>
      </c>
      <c r="F53" s="49" t="s">
        <v>79</v>
      </c>
      <c r="G53" s="231">
        <v>385.043048</v>
      </c>
      <c r="H53" s="128" t="s">
        <v>152</v>
      </c>
      <c r="I53" s="88">
        <v>225</v>
      </c>
      <c r="J53" s="88" t="s">
        <v>79</v>
      </c>
      <c r="K53" s="236">
        <v>317.19791999999995</v>
      </c>
      <c r="M53" s="48" t="s">
        <v>199</v>
      </c>
      <c r="N53" s="49">
        <v>225</v>
      </c>
      <c r="O53" s="49" t="s">
        <v>79</v>
      </c>
      <c r="P53" s="214">
        <f t="shared" si="42"/>
        <v>317.19791999999995</v>
      </c>
      <c r="Q53" s="57"/>
      <c r="V53" s="154"/>
      <c r="W53" s="154"/>
      <c r="X53" s="154"/>
      <c r="Y53" s="154"/>
      <c r="Z53" s="154"/>
      <c r="AA53" s="154"/>
      <c r="AB53" s="154"/>
      <c r="AC53" s="154"/>
    </row>
    <row r="54" spans="2:29" x14ac:dyDescent="0.3">
      <c r="B54" s="1">
        <v>820</v>
      </c>
      <c r="D54" s="55" t="s">
        <v>151</v>
      </c>
      <c r="E54" s="134">
        <v>225</v>
      </c>
      <c r="F54" s="134" t="s">
        <v>81</v>
      </c>
      <c r="G54" s="229">
        <v>481.30381</v>
      </c>
      <c r="H54" s="55" t="s">
        <v>152</v>
      </c>
      <c r="I54" s="134">
        <v>225</v>
      </c>
      <c r="J54" s="134" t="s">
        <v>81</v>
      </c>
      <c r="K54" s="234">
        <v>396.49739999999997</v>
      </c>
      <c r="M54" s="55" t="s">
        <v>199</v>
      </c>
      <c r="N54" s="257">
        <v>225</v>
      </c>
      <c r="O54" s="257" t="s">
        <v>81</v>
      </c>
      <c r="P54" s="217">
        <f t="shared" si="42"/>
        <v>396.49739999999997</v>
      </c>
      <c r="Q54" s="57"/>
      <c r="V54" s="154"/>
      <c r="W54" s="154"/>
      <c r="X54" s="154"/>
      <c r="Y54" s="154"/>
      <c r="Z54" s="154"/>
      <c r="AA54" s="154"/>
      <c r="AB54" s="154"/>
      <c r="AC54" s="154"/>
    </row>
    <row r="55" spans="2:29" x14ac:dyDescent="0.3">
      <c r="D55" s="55" t="s">
        <v>151</v>
      </c>
      <c r="E55" s="134">
        <v>225</v>
      </c>
      <c r="F55" s="134" t="s">
        <v>83</v>
      </c>
      <c r="G55" s="229">
        <v>629.39729</v>
      </c>
      <c r="H55" s="55" t="s">
        <v>152</v>
      </c>
      <c r="I55" s="134">
        <v>225</v>
      </c>
      <c r="J55" s="134" t="s">
        <v>83</v>
      </c>
      <c r="K55" s="234">
        <v>518.49659999999994</v>
      </c>
      <c r="M55" s="55" t="s">
        <v>199</v>
      </c>
      <c r="N55" s="257">
        <v>225</v>
      </c>
      <c r="O55" s="257" t="s">
        <v>83</v>
      </c>
      <c r="P55" s="217">
        <f t="shared" si="42"/>
        <v>518.49659999999994</v>
      </c>
      <c r="Q55" s="57"/>
      <c r="V55" s="154"/>
      <c r="W55" s="154"/>
      <c r="X55" s="154"/>
      <c r="Y55" s="154"/>
      <c r="Z55" s="154"/>
      <c r="AA55" s="154"/>
      <c r="AB55" s="154"/>
      <c r="AC55" s="154"/>
    </row>
    <row r="56" spans="2:29" x14ac:dyDescent="0.3">
      <c r="D56" s="55" t="s">
        <v>151</v>
      </c>
      <c r="E56" s="134">
        <v>225</v>
      </c>
      <c r="F56" s="134" t="s">
        <v>85</v>
      </c>
      <c r="G56" s="229">
        <v>758.97908500000005</v>
      </c>
      <c r="H56" s="55" t="s">
        <v>152</v>
      </c>
      <c r="I56" s="134">
        <v>225</v>
      </c>
      <c r="J56" s="134" t="s">
        <v>85</v>
      </c>
      <c r="K56" s="234">
        <v>625.24590000000001</v>
      </c>
      <c r="M56" s="55" t="s">
        <v>199</v>
      </c>
      <c r="N56" s="257">
        <v>225</v>
      </c>
      <c r="O56" s="257" t="s">
        <v>85</v>
      </c>
      <c r="P56" s="217">
        <f t="shared" si="42"/>
        <v>625.24590000000001</v>
      </c>
      <c r="Q56" s="57"/>
      <c r="V56" s="154"/>
      <c r="W56" s="154"/>
      <c r="X56" s="154"/>
      <c r="Y56" s="154"/>
      <c r="Z56" s="154"/>
      <c r="AA56" s="154"/>
      <c r="AB56" s="154"/>
      <c r="AC56" s="154"/>
    </row>
    <row r="57" spans="2:29" x14ac:dyDescent="0.3">
      <c r="D57" s="55" t="s">
        <v>151</v>
      </c>
      <c r="E57" s="134">
        <v>225</v>
      </c>
      <c r="F57" s="134" t="s">
        <v>87</v>
      </c>
      <c r="G57" s="229">
        <v>870.04919500000005</v>
      </c>
      <c r="H57" s="55" t="s">
        <v>152</v>
      </c>
      <c r="I57" s="134">
        <v>225</v>
      </c>
      <c r="J57" s="134" t="s">
        <v>87</v>
      </c>
      <c r="K57" s="234">
        <v>716.74530000000004</v>
      </c>
      <c r="M57" s="55" t="s">
        <v>199</v>
      </c>
      <c r="N57" s="257">
        <v>225</v>
      </c>
      <c r="O57" s="257" t="s">
        <v>87</v>
      </c>
      <c r="P57" s="217">
        <f t="shared" si="42"/>
        <v>716.74530000000004</v>
      </c>
      <c r="Q57" s="57"/>
      <c r="V57" s="154"/>
      <c r="W57" s="154"/>
      <c r="X57" s="154"/>
      <c r="Y57" s="154"/>
      <c r="Z57" s="154"/>
      <c r="AA57" s="154"/>
      <c r="AB57" s="154"/>
      <c r="AC57" s="154"/>
    </row>
    <row r="58" spans="2:29" x14ac:dyDescent="0.3">
      <c r="D58" s="55" t="s">
        <v>151</v>
      </c>
      <c r="E58" s="134">
        <v>225</v>
      </c>
      <c r="F58" s="134" t="s">
        <v>89</v>
      </c>
      <c r="G58" s="229">
        <v>1018.1426750000001</v>
      </c>
      <c r="H58" s="55" t="s">
        <v>152</v>
      </c>
      <c r="I58" s="134">
        <v>225</v>
      </c>
      <c r="J58" s="134" t="s">
        <v>89</v>
      </c>
      <c r="K58" s="234">
        <v>838.74450000000002</v>
      </c>
      <c r="M58" s="55" t="s">
        <v>199</v>
      </c>
      <c r="N58" s="257">
        <v>225</v>
      </c>
      <c r="O58" s="257" t="s">
        <v>89</v>
      </c>
      <c r="P58" s="217">
        <f t="shared" si="42"/>
        <v>838.74450000000002</v>
      </c>
      <c r="Q58" s="57"/>
      <c r="V58" s="154"/>
      <c r="W58" s="154"/>
      <c r="X58" s="154"/>
      <c r="Y58" s="154"/>
      <c r="Z58" s="154"/>
      <c r="AA58" s="154"/>
      <c r="AB58" s="154"/>
      <c r="AC58" s="154"/>
    </row>
    <row r="59" spans="2:29" ht="15" thickBot="1" x14ac:dyDescent="0.35">
      <c r="D59" s="61" t="s">
        <v>151</v>
      </c>
      <c r="E59" s="62">
        <v>225</v>
      </c>
      <c r="F59" s="62" t="s">
        <v>91</v>
      </c>
      <c r="G59" s="230">
        <v>1184.74784</v>
      </c>
      <c r="H59" s="34" t="s">
        <v>152</v>
      </c>
      <c r="I59" s="72">
        <v>225</v>
      </c>
      <c r="J59" s="72" t="s">
        <v>91</v>
      </c>
      <c r="K59" s="235">
        <v>975.99360000000001</v>
      </c>
      <c r="M59" s="34" t="s">
        <v>199</v>
      </c>
      <c r="N59" s="72">
        <v>225</v>
      </c>
      <c r="O59" s="72" t="s">
        <v>91</v>
      </c>
      <c r="P59" s="303">
        <f t="shared" si="42"/>
        <v>975.99360000000001</v>
      </c>
      <c r="Q59" s="57"/>
    </row>
    <row r="60" spans="2:29" x14ac:dyDescent="0.3">
      <c r="D60" s="48" t="s">
        <v>151</v>
      </c>
      <c r="E60" s="49">
        <v>375</v>
      </c>
      <c r="F60" s="49" t="s">
        <v>79</v>
      </c>
      <c r="G60" s="231">
        <v>515.20508000000007</v>
      </c>
      <c r="H60" s="128" t="s">
        <v>152</v>
      </c>
      <c r="I60" s="88">
        <v>375</v>
      </c>
      <c r="J60" s="88" t="s">
        <v>79</v>
      </c>
      <c r="K60" s="236">
        <v>412.1832</v>
      </c>
      <c r="M60" s="128" t="s">
        <v>199</v>
      </c>
      <c r="N60" s="88">
        <v>375</v>
      </c>
      <c r="O60" s="88" t="s">
        <v>79</v>
      </c>
      <c r="P60" s="217">
        <f t="shared" si="42"/>
        <v>412.1832</v>
      </c>
      <c r="Q60" s="57"/>
    </row>
    <row r="61" spans="2:29" x14ac:dyDescent="0.3">
      <c r="D61" s="55" t="s">
        <v>151</v>
      </c>
      <c r="E61" s="134">
        <v>375</v>
      </c>
      <c r="F61" s="134" t="s">
        <v>81</v>
      </c>
      <c r="G61" s="229">
        <v>644.00635</v>
      </c>
      <c r="H61" s="55" t="s">
        <v>152</v>
      </c>
      <c r="I61" s="134">
        <v>375</v>
      </c>
      <c r="J61" s="134" t="s">
        <v>81</v>
      </c>
      <c r="K61" s="234">
        <v>515.22900000000004</v>
      </c>
      <c r="M61" s="55" t="s">
        <v>199</v>
      </c>
      <c r="N61" s="155">
        <v>375</v>
      </c>
      <c r="O61" s="155" t="s">
        <v>81</v>
      </c>
      <c r="P61" s="217">
        <f t="shared" si="42"/>
        <v>515.22900000000004</v>
      </c>
      <c r="Q61" s="57"/>
    </row>
    <row r="62" spans="2:29" x14ac:dyDescent="0.3">
      <c r="D62" s="55" t="s">
        <v>151</v>
      </c>
      <c r="E62" s="134">
        <v>375</v>
      </c>
      <c r="F62" s="134" t="s">
        <v>83</v>
      </c>
      <c r="G62" s="229">
        <v>842.16215</v>
      </c>
      <c r="H62" s="55" t="s">
        <v>152</v>
      </c>
      <c r="I62" s="134">
        <v>375</v>
      </c>
      <c r="J62" s="134" t="s">
        <v>83</v>
      </c>
      <c r="K62" s="234">
        <v>673.76099999999997</v>
      </c>
      <c r="M62" s="55" t="s">
        <v>199</v>
      </c>
      <c r="N62" s="155">
        <v>375</v>
      </c>
      <c r="O62" s="155" t="s">
        <v>83</v>
      </c>
      <c r="P62" s="217">
        <f t="shared" si="42"/>
        <v>673.76099999999997</v>
      </c>
      <c r="Q62" s="57"/>
    </row>
    <row r="63" spans="2:29" x14ac:dyDescent="0.3">
      <c r="D63" s="55" t="s">
        <v>151</v>
      </c>
      <c r="E63" s="134">
        <v>375</v>
      </c>
      <c r="F63" s="134" t="s">
        <v>85</v>
      </c>
      <c r="G63" s="229">
        <v>1015.5484750000001</v>
      </c>
      <c r="H63" s="55" t="s">
        <v>152</v>
      </c>
      <c r="I63" s="134">
        <v>375</v>
      </c>
      <c r="J63" s="134" t="s">
        <v>85</v>
      </c>
      <c r="K63" s="234">
        <v>812.47649999999999</v>
      </c>
      <c r="M63" s="55" t="s">
        <v>199</v>
      </c>
      <c r="N63" s="155">
        <v>375</v>
      </c>
      <c r="O63" s="155" t="s">
        <v>85</v>
      </c>
      <c r="P63" s="217">
        <f t="shared" si="42"/>
        <v>812.47649999999999</v>
      </c>
      <c r="Q63" s="57"/>
    </row>
    <row r="64" spans="2:29" x14ac:dyDescent="0.3">
      <c r="D64" s="55" t="s">
        <v>151</v>
      </c>
      <c r="E64" s="134">
        <v>375</v>
      </c>
      <c r="F64" s="134" t="s">
        <v>87</v>
      </c>
      <c r="G64" s="229">
        <v>1164.1653249999999</v>
      </c>
      <c r="H64" s="55" t="s">
        <v>152</v>
      </c>
      <c r="I64" s="134">
        <v>375</v>
      </c>
      <c r="J64" s="134" t="s">
        <v>87</v>
      </c>
      <c r="K64" s="234">
        <v>931.37549999999999</v>
      </c>
      <c r="M64" s="55" t="s">
        <v>199</v>
      </c>
      <c r="N64" s="155">
        <v>375</v>
      </c>
      <c r="O64" s="155" t="s">
        <v>87</v>
      </c>
      <c r="P64" s="217">
        <f t="shared" si="42"/>
        <v>931.37549999999999</v>
      </c>
      <c r="Q64" s="57"/>
    </row>
    <row r="65" spans="4:27" x14ac:dyDescent="0.3">
      <c r="D65" s="55" t="s">
        <v>151</v>
      </c>
      <c r="E65" s="134">
        <v>375</v>
      </c>
      <c r="F65" s="134" t="s">
        <v>89</v>
      </c>
      <c r="G65" s="229">
        <v>1362.3211249999999</v>
      </c>
      <c r="H65" s="55" t="s">
        <v>152</v>
      </c>
      <c r="I65" s="134">
        <v>375</v>
      </c>
      <c r="J65" s="134" t="s">
        <v>89</v>
      </c>
      <c r="K65" s="234">
        <v>1089.9075</v>
      </c>
      <c r="M65" s="55" t="s">
        <v>199</v>
      </c>
      <c r="N65" s="155">
        <v>375</v>
      </c>
      <c r="O65" s="155" t="s">
        <v>89</v>
      </c>
      <c r="P65" s="217">
        <f t="shared" si="42"/>
        <v>1089.9075</v>
      </c>
      <c r="Q65" s="57"/>
      <c r="S65" s="58"/>
      <c r="T65" s="71"/>
      <c r="U65" s="71"/>
      <c r="V65" s="71"/>
      <c r="W65" s="71"/>
      <c r="X65" s="71"/>
      <c r="Y65" s="71"/>
      <c r="Z65" s="71"/>
    </row>
    <row r="66" spans="4:27" ht="15" thickBot="1" x14ac:dyDescent="0.35">
      <c r="D66" s="61" t="s">
        <v>151</v>
      </c>
      <c r="E66" s="62">
        <v>375</v>
      </c>
      <c r="F66" s="62" t="s">
        <v>91</v>
      </c>
      <c r="G66" s="230">
        <v>1585.2464000000002</v>
      </c>
      <c r="H66" s="34" t="s">
        <v>152</v>
      </c>
      <c r="I66" s="72">
        <v>375</v>
      </c>
      <c r="J66" s="72" t="s">
        <v>91</v>
      </c>
      <c r="K66" s="235">
        <v>1268.2559999999999</v>
      </c>
      <c r="M66" s="61" t="s">
        <v>199</v>
      </c>
      <c r="N66" s="62">
        <v>375</v>
      </c>
      <c r="O66" s="62" t="s">
        <v>91</v>
      </c>
      <c r="P66" s="302">
        <f t="shared" si="42"/>
        <v>1268.2559999999999</v>
      </c>
      <c r="Q66" s="57"/>
      <c r="S66" s="58"/>
      <c r="T66" s="71"/>
      <c r="U66" s="71"/>
      <c r="V66" s="71"/>
      <c r="W66" s="71"/>
      <c r="X66" s="71"/>
      <c r="Y66" s="71"/>
      <c r="Z66" s="71"/>
    </row>
    <row r="67" spans="4:27" x14ac:dyDescent="0.3">
      <c r="D67" s="48" t="s">
        <v>151</v>
      </c>
      <c r="E67" s="49">
        <v>575</v>
      </c>
      <c r="F67" s="49" t="s">
        <v>79</v>
      </c>
      <c r="G67" s="231">
        <v>688.75445600000012</v>
      </c>
      <c r="H67" s="128" t="s">
        <v>152</v>
      </c>
      <c r="I67" s="88">
        <v>575</v>
      </c>
      <c r="J67" s="88" t="s">
        <v>79</v>
      </c>
      <c r="K67" s="236">
        <v>538.83024</v>
      </c>
      <c r="M67" s="48" t="s">
        <v>199</v>
      </c>
      <c r="N67" s="49">
        <v>575</v>
      </c>
      <c r="O67" s="49" t="s">
        <v>79</v>
      </c>
      <c r="P67" s="214">
        <f t="shared" si="42"/>
        <v>538.83024</v>
      </c>
      <c r="Q67" s="57"/>
      <c r="S67" s="58"/>
      <c r="T67" s="71"/>
      <c r="U67" s="71"/>
      <c r="V67" s="71"/>
      <c r="W67" s="71"/>
      <c r="X67" s="71"/>
      <c r="Y67" s="71"/>
      <c r="Z67" s="71"/>
    </row>
    <row r="68" spans="4:27" x14ac:dyDescent="0.3">
      <c r="D68" s="55" t="s">
        <v>151</v>
      </c>
      <c r="E68" s="134">
        <v>575</v>
      </c>
      <c r="F68" s="134" t="s">
        <v>81</v>
      </c>
      <c r="G68" s="229">
        <v>860.94307000000003</v>
      </c>
      <c r="H68" s="55" t="s">
        <v>152</v>
      </c>
      <c r="I68" s="134">
        <v>575</v>
      </c>
      <c r="J68" s="134" t="s">
        <v>81</v>
      </c>
      <c r="K68" s="234">
        <v>673.53779999999995</v>
      </c>
      <c r="M68" s="55" t="s">
        <v>199</v>
      </c>
      <c r="N68" s="257">
        <v>575</v>
      </c>
      <c r="O68" s="257" t="s">
        <v>81</v>
      </c>
      <c r="P68" s="217">
        <f t="shared" si="42"/>
        <v>673.53779999999995</v>
      </c>
      <c r="Q68" s="57"/>
      <c r="S68" s="58"/>
      <c r="T68" s="71"/>
      <c r="U68" s="71"/>
      <c r="V68" s="71"/>
      <c r="W68" s="71"/>
      <c r="X68" s="71"/>
      <c r="Y68" s="71"/>
      <c r="Z68" s="71"/>
    </row>
    <row r="69" spans="4:27" x14ac:dyDescent="0.3">
      <c r="D69" s="55" t="s">
        <v>151</v>
      </c>
      <c r="E69" s="134">
        <v>575</v>
      </c>
      <c r="F69" s="134" t="s">
        <v>83</v>
      </c>
      <c r="G69" s="229">
        <v>1125.8486300000002</v>
      </c>
      <c r="H69" s="55" t="s">
        <v>152</v>
      </c>
      <c r="I69" s="134">
        <v>575</v>
      </c>
      <c r="J69" s="134" t="s">
        <v>83</v>
      </c>
      <c r="K69" s="234">
        <v>880.78020000000004</v>
      </c>
      <c r="M69" s="55" t="s">
        <v>199</v>
      </c>
      <c r="N69" s="257">
        <v>575</v>
      </c>
      <c r="O69" s="257" t="s">
        <v>83</v>
      </c>
      <c r="P69" s="217">
        <f t="shared" si="42"/>
        <v>880.78020000000004</v>
      </c>
      <c r="Q69" s="57"/>
      <c r="S69" s="58"/>
      <c r="T69" s="71"/>
      <c r="U69" s="71"/>
      <c r="V69" s="71"/>
      <c r="W69" s="71"/>
      <c r="X69" s="71"/>
      <c r="Y69" s="71"/>
      <c r="Z69" s="71"/>
    </row>
    <row r="70" spans="4:27" x14ac:dyDescent="0.3">
      <c r="D70" s="55" t="s">
        <v>151</v>
      </c>
      <c r="E70" s="134">
        <v>575</v>
      </c>
      <c r="F70" s="134" t="s">
        <v>85</v>
      </c>
      <c r="G70" s="229">
        <v>1357.6409950000002</v>
      </c>
      <c r="H70" s="55" t="s">
        <v>152</v>
      </c>
      <c r="I70" s="134">
        <v>575</v>
      </c>
      <c r="J70" s="134" t="s">
        <v>85</v>
      </c>
      <c r="K70" s="234">
        <v>1062.1172999999999</v>
      </c>
      <c r="M70" s="55" t="s">
        <v>199</v>
      </c>
      <c r="N70" s="257">
        <v>575</v>
      </c>
      <c r="O70" s="257" t="s">
        <v>85</v>
      </c>
      <c r="P70" s="217">
        <f t="shared" si="42"/>
        <v>1062.1172999999999</v>
      </c>
      <c r="Q70" s="57"/>
      <c r="S70" s="58"/>
      <c r="T70" s="71"/>
      <c r="U70" s="71"/>
      <c r="V70" s="71"/>
      <c r="W70" s="71"/>
      <c r="X70" s="71"/>
      <c r="Y70" s="71"/>
      <c r="Z70" s="71"/>
    </row>
    <row r="71" spans="4:27" x14ac:dyDescent="0.3">
      <c r="D71" s="55" t="s">
        <v>151</v>
      </c>
      <c r="E71" s="134">
        <v>575</v>
      </c>
      <c r="F71" s="134" t="s">
        <v>87</v>
      </c>
      <c r="G71" s="229">
        <v>1556.3201650000001</v>
      </c>
      <c r="H71" s="55" t="s">
        <v>152</v>
      </c>
      <c r="I71" s="134">
        <v>575</v>
      </c>
      <c r="J71" s="134" t="s">
        <v>87</v>
      </c>
      <c r="K71" s="234">
        <v>1217.5491</v>
      </c>
      <c r="M71" s="55" t="s">
        <v>199</v>
      </c>
      <c r="N71" s="257">
        <v>575</v>
      </c>
      <c r="O71" s="257" t="s">
        <v>87</v>
      </c>
      <c r="P71" s="217">
        <f t="shared" si="42"/>
        <v>1217.5491</v>
      </c>
      <c r="Q71" s="57"/>
      <c r="S71" s="58"/>
      <c r="T71" s="71"/>
      <c r="U71" s="71"/>
      <c r="V71" s="71"/>
      <c r="W71" s="71"/>
      <c r="X71" s="71"/>
      <c r="Y71" s="71"/>
      <c r="Z71" s="71"/>
    </row>
    <row r="72" spans="4:27" x14ac:dyDescent="0.3">
      <c r="D72" s="55" t="s">
        <v>151</v>
      </c>
      <c r="E72" s="134">
        <v>575</v>
      </c>
      <c r="F72" s="134" t="s">
        <v>89</v>
      </c>
      <c r="G72" s="229">
        <v>1821.225725</v>
      </c>
      <c r="H72" s="55" t="s">
        <v>152</v>
      </c>
      <c r="I72" s="134">
        <v>575</v>
      </c>
      <c r="J72" s="134" t="s">
        <v>89</v>
      </c>
      <c r="K72" s="234">
        <v>1424.7915</v>
      </c>
      <c r="M72" s="55" t="s">
        <v>199</v>
      </c>
      <c r="N72" s="257">
        <v>575</v>
      </c>
      <c r="O72" s="257" t="s">
        <v>89</v>
      </c>
      <c r="P72" s="217">
        <f t="shared" si="42"/>
        <v>1424.7915</v>
      </c>
      <c r="Q72" s="57"/>
      <c r="S72" s="58"/>
      <c r="T72" s="71"/>
      <c r="U72" s="71"/>
      <c r="V72" s="71"/>
      <c r="W72" s="71"/>
      <c r="X72" s="71"/>
      <c r="Y72" s="71"/>
      <c r="Z72" s="71"/>
    </row>
    <row r="73" spans="4:27" ht="15" thickBot="1" x14ac:dyDescent="0.35">
      <c r="D73" s="34" t="s">
        <v>151</v>
      </c>
      <c r="E73" s="72">
        <v>575</v>
      </c>
      <c r="F73" s="72" t="s">
        <v>91</v>
      </c>
      <c r="G73" s="230">
        <v>2119.2444799999998</v>
      </c>
      <c r="H73" s="34" t="s">
        <v>152</v>
      </c>
      <c r="I73" s="72">
        <v>575</v>
      </c>
      <c r="J73" s="72" t="s">
        <v>91</v>
      </c>
      <c r="K73" s="235">
        <v>1657.9391999999998</v>
      </c>
      <c r="M73" s="34" t="s">
        <v>199</v>
      </c>
      <c r="N73" s="72">
        <v>575</v>
      </c>
      <c r="O73" s="72" t="s">
        <v>91</v>
      </c>
      <c r="P73" s="303">
        <f t="shared" si="42"/>
        <v>1657.9391999999998</v>
      </c>
      <c r="Q73" s="57"/>
      <c r="S73" s="58"/>
      <c r="T73" s="71"/>
      <c r="U73" s="71"/>
      <c r="V73" s="71"/>
      <c r="W73" s="71"/>
      <c r="X73" s="71"/>
      <c r="Y73" s="71"/>
      <c r="Z73" s="71"/>
    </row>
    <row r="74" spans="4:27" ht="15" customHeight="1" x14ac:dyDescent="0.3">
      <c r="D74" s="48" t="s">
        <v>151</v>
      </c>
      <c r="E74" s="49">
        <v>820</v>
      </c>
      <c r="F74" s="49" t="s">
        <v>79</v>
      </c>
      <c r="G74" s="231">
        <v>901.35244160000002</v>
      </c>
      <c r="H74" s="48" t="s">
        <v>152</v>
      </c>
      <c r="I74" s="49">
        <v>820</v>
      </c>
      <c r="J74" s="49" t="s">
        <v>79</v>
      </c>
      <c r="K74" s="233">
        <v>693.97286399999996</v>
      </c>
      <c r="M74" s="128" t="s">
        <v>199</v>
      </c>
      <c r="N74" s="88">
        <v>820</v>
      </c>
      <c r="O74" s="88" t="s">
        <v>79</v>
      </c>
      <c r="P74" s="214">
        <f>K74</f>
        <v>693.97286399999996</v>
      </c>
      <c r="Q74" s="263"/>
      <c r="R74" s="263"/>
      <c r="S74" s="71"/>
      <c r="T74" s="71"/>
      <c r="U74" s="71"/>
      <c r="V74" s="71"/>
      <c r="W74" s="71"/>
      <c r="X74" s="71"/>
      <c r="Y74" s="71"/>
      <c r="Z74" s="71"/>
      <c r="AA74" s="71"/>
    </row>
    <row r="75" spans="4:27" ht="15" customHeight="1" x14ac:dyDescent="0.3">
      <c r="D75" s="55" t="s">
        <v>151</v>
      </c>
      <c r="E75" s="148">
        <v>820</v>
      </c>
      <c r="F75" s="148" t="s">
        <v>81</v>
      </c>
      <c r="G75" s="229">
        <v>1126.6905519999998</v>
      </c>
      <c r="H75" s="55" t="s">
        <v>152</v>
      </c>
      <c r="I75" s="148">
        <v>820</v>
      </c>
      <c r="J75" s="148" t="s">
        <v>81</v>
      </c>
      <c r="K75" s="234">
        <v>867.46608000000003</v>
      </c>
      <c r="M75" s="55" t="s">
        <v>199</v>
      </c>
      <c r="N75" s="257">
        <v>820</v>
      </c>
      <c r="O75" s="257" t="s">
        <v>81</v>
      </c>
      <c r="P75" s="217">
        <f t="shared" ref="P75:P80" si="43">K75</f>
        <v>867.46608000000003</v>
      </c>
      <c r="Q75" s="262"/>
      <c r="R75" s="262"/>
    </row>
    <row r="76" spans="4:27" x14ac:dyDescent="0.3">
      <c r="D76" s="55" t="s">
        <v>151</v>
      </c>
      <c r="E76" s="148">
        <v>820</v>
      </c>
      <c r="F76" s="148" t="s">
        <v>83</v>
      </c>
      <c r="G76" s="229">
        <v>1473.364568</v>
      </c>
      <c r="H76" s="55" t="s">
        <v>152</v>
      </c>
      <c r="I76" s="148">
        <v>820</v>
      </c>
      <c r="J76" s="148" t="s">
        <v>83</v>
      </c>
      <c r="K76" s="234">
        <v>1134.3787199999999</v>
      </c>
      <c r="M76" s="55" t="s">
        <v>199</v>
      </c>
      <c r="N76" s="257">
        <v>820</v>
      </c>
      <c r="O76" s="257" t="s">
        <v>83</v>
      </c>
      <c r="P76" s="217">
        <f t="shared" si="43"/>
        <v>1134.3787199999999</v>
      </c>
      <c r="Q76" s="262"/>
      <c r="R76" s="262"/>
    </row>
    <row r="77" spans="4:27" x14ac:dyDescent="0.3">
      <c r="D77" s="55" t="s">
        <v>151</v>
      </c>
      <c r="E77" s="148">
        <v>820</v>
      </c>
      <c r="F77" s="148" t="s">
        <v>85</v>
      </c>
      <c r="G77" s="229">
        <v>1776.704332</v>
      </c>
      <c r="H77" s="55" t="s">
        <v>152</v>
      </c>
      <c r="I77" s="148">
        <v>820</v>
      </c>
      <c r="J77" s="148" t="s">
        <v>85</v>
      </c>
      <c r="K77" s="234">
        <v>1367.9272800000001</v>
      </c>
      <c r="M77" s="55" t="s">
        <v>199</v>
      </c>
      <c r="N77" s="257">
        <v>820</v>
      </c>
      <c r="O77" s="257" t="s">
        <v>85</v>
      </c>
      <c r="P77" s="217">
        <f t="shared" si="43"/>
        <v>1367.9272800000001</v>
      </c>
    </row>
    <row r="78" spans="4:27" x14ac:dyDescent="0.3">
      <c r="D78" s="55" t="s">
        <v>151</v>
      </c>
      <c r="E78" s="148">
        <v>820</v>
      </c>
      <c r="F78" s="148" t="s">
        <v>87</v>
      </c>
      <c r="G78" s="229">
        <v>2036.709844</v>
      </c>
      <c r="H78" s="55" t="s">
        <v>152</v>
      </c>
      <c r="I78" s="148">
        <v>820</v>
      </c>
      <c r="J78" s="148" t="s">
        <v>87</v>
      </c>
      <c r="K78" s="234">
        <v>1568.11176</v>
      </c>
      <c r="M78" s="55" t="s">
        <v>199</v>
      </c>
      <c r="N78" s="257">
        <v>820</v>
      </c>
      <c r="O78" s="257" t="s">
        <v>87</v>
      </c>
      <c r="P78" s="217">
        <f t="shared" si="43"/>
        <v>1568.11176</v>
      </c>
    </row>
    <row r="79" spans="4:27" x14ac:dyDescent="0.3">
      <c r="D79" s="55" t="s">
        <v>151</v>
      </c>
      <c r="E79" s="148">
        <v>820</v>
      </c>
      <c r="F79" s="148" t="s">
        <v>89</v>
      </c>
      <c r="G79" s="229">
        <v>2383.3838599999999</v>
      </c>
      <c r="H79" s="55" t="s">
        <v>152</v>
      </c>
      <c r="I79" s="148">
        <v>820</v>
      </c>
      <c r="J79" s="148" t="s">
        <v>89</v>
      </c>
      <c r="K79" s="234">
        <v>1835.0244</v>
      </c>
      <c r="M79" s="55" t="s">
        <v>199</v>
      </c>
      <c r="N79" s="257">
        <v>820</v>
      </c>
      <c r="O79" s="257" t="s">
        <v>89</v>
      </c>
      <c r="P79" s="217">
        <f t="shared" si="43"/>
        <v>1835.0244</v>
      </c>
    </row>
    <row r="80" spans="4:27" ht="15" thickBot="1" x14ac:dyDescent="0.35">
      <c r="D80" s="34" t="s">
        <v>151</v>
      </c>
      <c r="E80" s="72">
        <v>820</v>
      </c>
      <c r="F80" s="72" t="s">
        <v>91</v>
      </c>
      <c r="G80" s="232">
        <v>2773.392128</v>
      </c>
      <c r="H80" s="34" t="s">
        <v>152</v>
      </c>
      <c r="I80" s="72">
        <v>820</v>
      </c>
      <c r="J80" s="72" t="s">
        <v>91</v>
      </c>
      <c r="K80" s="235">
        <v>2135.3011200000001</v>
      </c>
      <c r="M80" s="34" t="s">
        <v>199</v>
      </c>
      <c r="N80" s="72">
        <v>820</v>
      </c>
      <c r="O80" s="72" t="s">
        <v>91</v>
      </c>
      <c r="P80" s="303">
        <f t="shared" si="43"/>
        <v>2135.3011200000001</v>
      </c>
    </row>
    <row r="81" spans="2:18" ht="15" customHeight="1" x14ac:dyDescent="0.3">
      <c r="D81" s="344" t="s">
        <v>269</v>
      </c>
      <c r="E81" s="344"/>
      <c r="F81" s="344"/>
      <c r="G81" s="344"/>
      <c r="H81" s="344"/>
      <c r="I81" s="344"/>
      <c r="J81" s="344"/>
      <c r="K81" s="344"/>
      <c r="M81" s="365" t="s">
        <v>200</v>
      </c>
      <c r="N81" s="365"/>
      <c r="O81" s="365"/>
      <c r="P81" s="365"/>
    </row>
    <row r="82" spans="2:18" x14ac:dyDescent="0.3">
      <c r="D82" s="345"/>
      <c r="E82" s="345"/>
      <c r="F82" s="345"/>
      <c r="G82" s="345"/>
      <c r="H82" s="345"/>
      <c r="I82" s="345"/>
      <c r="J82" s="345"/>
      <c r="K82" s="345"/>
      <c r="M82" s="362" t="s">
        <v>94</v>
      </c>
      <c r="N82" s="362"/>
      <c r="O82" s="362"/>
      <c r="P82" s="362"/>
    </row>
    <row r="83" spans="2:18" x14ac:dyDescent="0.3">
      <c r="M83" s="362"/>
      <c r="N83" s="362"/>
      <c r="O83" s="362"/>
      <c r="P83" s="362"/>
    </row>
    <row r="84" spans="2:18" s="201" customFormat="1" x14ac:dyDescent="0.3">
      <c r="D84" s="202" t="s">
        <v>266</v>
      </c>
      <c r="L84" s="201" t="s">
        <v>284</v>
      </c>
    </row>
    <row r="85" spans="2:18" ht="15" thickBot="1" x14ac:dyDescent="0.35">
      <c r="D85" s="42" t="s">
        <v>278</v>
      </c>
      <c r="H85" s="42" t="s">
        <v>282</v>
      </c>
      <c r="L85" s="42" t="s">
        <v>278</v>
      </c>
      <c r="N85" s="272" t="s">
        <v>208</v>
      </c>
      <c r="O85" s="272" t="s">
        <v>287</v>
      </c>
      <c r="R85" s="42"/>
    </row>
    <row r="86" spans="2:18" ht="29.4" thickBot="1" x14ac:dyDescent="0.35">
      <c r="B86" s="42" t="s">
        <v>205</v>
      </c>
      <c r="D86" s="47" t="s">
        <v>11</v>
      </c>
      <c r="E86" s="44" t="s">
        <v>155</v>
      </c>
      <c r="F86" s="45" t="s">
        <v>76</v>
      </c>
      <c r="H86" s="47" t="s">
        <v>11</v>
      </c>
      <c r="I86" s="44" t="s">
        <v>283</v>
      </c>
      <c r="J86" s="45" t="s">
        <v>76</v>
      </c>
      <c r="L86" s="168" t="s">
        <v>11</v>
      </c>
      <c r="M86" s="169" t="s">
        <v>75</v>
      </c>
      <c r="N86" s="170" t="s">
        <v>204</v>
      </c>
      <c r="O86" s="170" t="s">
        <v>204</v>
      </c>
    </row>
    <row r="87" spans="2:18" x14ac:dyDescent="0.3">
      <c r="B87" s="177" t="s">
        <v>207</v>
      </c>
      <c r="D87" s="76" t="s">
        <v>79</v>
      </c>
      <c r="E87" s="49">
        <v>15</v>
      </c>
      <c r="F87" s="219">
        <f>[2]CEA!$C$21</f>
        <v>180.14331321022726</v>
      </c>
      <c r="H87" s="76" t="s">
        <v>79</v>
      </c>
      <c r="I87" s="49">
        <f>[2]CEI!$C$5</f>
        <v>2.4</v>
      </c>
      <c r="J87" s="219">
        <f>[2]CEI!$C$7</f>
        <v>289.08000000000004</v>
      </c>
      <c r="L87" s="76" t="s">
        <v>79</v>
      </c>
      <c r="M87" s="273">
        <v>30</v>
      </c>
      <c r="N87" s="276">
        <f>[2]CGA!$C$21</f>
        <v>22.155017759339628</v>
      </c>
      <c r="O87" s="219">
        <f>[2]CGA!$C$22</f>
        <v>28.938661873278726</v>
      </c>
    </row>
    <row r="88" spans="2:18" x14ac:dyDescent="0.3">
      <c r="B88" s="1" t="s">
        <v>208</v>
      </c>
      <c r="D88" s="78" t="s">
        <v>81</v>
      </c>
      <c r="E88" s="56">
        <f>+E87</f>
        <v>15</v>
      </c>
      <c r="F88" s="220">
        <f>[2]CEA!$F$21</f>
        <v>185.30229763296319</v>
      </c>
      <c r="H88" s="78" t="s">
        <v>81</v>
      </c>
      <c r="I88" s="257">
        <f>[2]CEI!$D$5</f>
        <v>2.95</v>
      </c>
      <c r="J88" s="220">
        <f>[2]CEI!$D$7</f>
        <v>355.32750000000004</v>
      </c>
      <c r="L88" s="78" t="s">
        <v>81</v>
      </c>
      <c r="M88" s="260">
        <v>30</v>
      </c>
      <c r="N88" s="277">
        <f>[2]CGA!$E$21</f>
        <v>22.573036962346041</v>
      </c>
      <c r="O88" s="220">
        <f>[2]CGA!$E$22</f>
        <v>29.484674361453798</v>
      </c>
    </row>
    <row r="89" spans="2:18" x14ac:dyDescent="0.3">
      <c r="B89" s="1" t="s">
        <v>209</v>
      </c>
      <c r="D89" s="78" t="s">
        <v>83</v>
      </c>
      <c r="E89" s="257">
        <f t="shared" ref="E89:E93" si="44">+E88</f>
        <v>15</v>
      </c>
      <c r="F89" s="220">
        <f>[2]CEA!$I$21</f>
        <v>198.87857938150796</v>
      </c>
      <c r="H89" s="78" t="s">
        <v>83</v>
      </c>
      <c r="I89" s="257">
        <f>[2]CEI!$E$5</f>
        <v>4.05</v>
      </c>
      <c r="J89" s="220">
        <f>[2]CEI!$E$7</f>
        <v>487.82249999999999</v>
      </c>
      <c r="L89" s="78" t="s">
        <v>83</v>
      </c>
      <c r="M89" s="260">
        <v>30</v>
      </c>
      <c r="N89" s="277">
        <f>[2]CGA!$G$21</f>
        <v>23.458254098124314</v>
      </c>
      <c r="O89" s="220">
        <f>[2]CGA!$G$22</f>
        <v>30.640936101118658</v>
      </c>
    </row>
    <row r="90" spans="2:18" x14ac:dyDescent="0.3">
      <c r="D90" s="78" t="s">
        <v>85</v>
      </c>
      <c r="E90" s="257">
        <f t="shared" si="44"/>
        <v>15</v>
      </c>
      <c r="F90" s="220">
        <f>[2]CEA!$L$21</f>
        <v>211.65035463951938</v>
      </c>
      <c r="H90" s="78" t="s">
        <v>85</v>
      </c>
      <c r="I90" s="257">
        <f>[2]CEI!$F$5</f>
        <v>5.15</v>
      </c>
      <c r="J90" s="220">
        <f>[2]CEI!$F$7</f>
        <v>620.31750000000011</v>
      </c>
      <c r="L90" s="78" t="s">
        <v>85</v>
      </c>
      <c r="M90" s="260">
        <v>30</v>
      </c>
      <c r="N90" s="277">
        <f>[2]CGA!$I$21</f>
        <v>24.415733857231434</v>
      </c>
      <c r="O90" s="220">
        <f>[2]CGA!$I$22</f>
        <v>31.89158655422554</v>
      </c>
    </row>
    <row r="91" spans="2:18" x14ac:dyDescent="0.3">
      <c r="D91" s="78" t="s">
        <v>87</v>
      </c>
      <c r="E91" s="257">
        <f t="shared" si="44"/>
        <v>15</v>
      </c>
      <c r="F91" s="220">
        <f>[2]CEA!$O$21</f>
        <v>229.24962490961678</v>
      </c>
      <c r="H91" s="78" t="s">
        <v>87</v>
      </c>
      <c r="I91" s="257">
        <f>[2]CEI!$G$5</f>
        <v>6.25</v>
      </c>
      <c r="J91" s="220">
        <f>[2]CEI!$G$7</f>
        <v>752.8125</v>
      </c>
      <c r="L91" s="78" t="s">
        <v>87</v>
      </c>
      <c r="M91" s="260">
        <v>30</v>
      </c>
      <c r="N91" s="277">
        <f>[2]CGA!$K$21</f>
        <v>25.275442795866343</v>
      </c>
      <c r="O91" s="220">
        <f>[2]CGA!$K$22</f>
        <v>33.014529742754604</v>
      </c>
    </row>
    <row r="92" spans="2:18" x14ac:dyDescent="0.3">
      <c r="B92" s="266" t="s">
        <v>279</v>
      </c>
      <c r="D92" s="78" t="s">
        <v>89</v>
      </c>
      <c r="E92" s="257">
        <f t="shared" si="44"/>
        <v>15</v>
      </c>
      <c r="F92" s="220">
        <f>[2]CEA!$R$21</f>
        <v>246.73325389105057</v>
      </c>
      <c r="H92" s="78" t="s">
        <v>89</v>
      </c>
      <c r="I92" s="257">
        <f>[2]CEI!$H$5</f>
        <v>7.35</v>
      </c>
      <c r="J92" s="220">
        <f>[2]CEI!$H$7</f>
        <v>885.3075</v>
      </c>
      <c r="K92" s="266" t="s">
        <v>286</v>
      </c>
      <c r="L92" s="78" t="s">
        <v>89</v>
      </c>
      <c r="M92" s="260">
        <v>30</v>
      </c>
      <c r="N92" s="277">
        <f>[2]CGA!$M$21</f>
        <v>26.008064326181305</v>
      </c>
      <c r="O92" s="220">
        <f>[2]CGA!$M$22</f>
        <v>33.971472633848947</v>
      </c>
    </row>
    <row r="93" spans="2:18" ht="15" thickBot="1" x14ac:dyDescent="0.35">
      <c r="B93" s="266">
        <v>15</v>
      </c>
      <c r="D93" s="80" t="s">
        <v>91</v>
      </c>
      <c r="E93" s="257">
        <f t="shared" si="44"/>
        <v>15</v>
      </c>
      <c r="F93" s="221">
        <f>[2]CEA!$U$21</f>
        <v>270.98481303418799</v>
      </c>
      <c r="H93" s="84" t="s">
        <v>91</v>
      </c>
      <c r="I93" s="72">
        <f>[2]CEI!$I$5</f>
        <v>7.9</v>
      </c>
      <c r="J93" s="222">
        <f>[2]CEI!$I$7</f>
        <v>951.55500000000006</v>
      </c>
      <c r="K93" s="266">
        <v>30</v>
      </c>
      <c r="L93" s="80" t="s">
        <v>91</v>
      </c>
      <c r="M93" s="274">
        <v>30</v>
      </c>
      <c r="N93" s="278">
        <f>[2]CGA!$O$21</f>
        <v>26.39053586038985</v>
      </c>
      <c r="O93" s="221">
        <f>[2]CGA!$O$22</f>
        <v>34.471053113758487</v>
      </c>
    </row>
    <row r="94" spans="2:18" x14ac:dyDescent="0.3">
      <c r="B94" s="266">
        <v>50</v>
      </c>
      <c r="D94" s="76" t="s">
        <v>79</v>
      </c>
      <c r="E94" s="49">
        <v>50</v>
      </c>
      <c r="F94" s="219">
        <f>[2]CEA!$D$21</f>
        <v>600.4777107007576</v>
      </c>
      <c r="H94" s="363" t="s">
        <v>269</v>
      </c>
      <c r="I94" s="363"/>
      <c r="J94" s="363"/>
      <c r="K94" s="266">
        <v>150</v>
      </c>
      <c r="L94" s="76" t="s">
        <v>79</v>
      </c>
      <c r="M94" s="273">
        <v>150</v>
      </c>
      <c r="N94" s="276">
        <f>[2]CGA!$D$21</f>
        <v>110.77508879669814</v>
      </c>
      <c r="O94" s="219">
        <f>[2]CGA!$D$22</f>
        <v>144.69330936639366</v>
      </c>
    </row>
    <row r="95" spans="2:18" x14ac:dyDescent="0.3">
      <c r="B95" s="266">
        <v>150</v>
      </c>
      <c r="D95" s="78" t="s">
        <v>81</v>
      </c>
      <c r="E95" s="257">
        <f>+E94</f>
        <v>50</v>
      </c>
      <c r="F95" s="220">
        <f>[2]CEA!$G$21</f>
        <v>625.34956854043412</v>
      </c>
      <c r="H95" s="364"/>
      <c r="I95" s="364"/>
      <c r="J95" s="364"/>
      <c r="L95" s="78" t="s">
        <v>81</v>
      </c>
      <c r="M95" s="260">
        <v>150</v>
      </c>
      <c r="N95" s="277">
        <f>[2]CGA!$F$21</f>
        <v>112.8651848117302</v>
      </c>
      <c r="O95" s="220">
        <f>[2]CGA!$F$22</f>
        <v>147.42337180726901</v>
      </c>
    </row>
    <row r="96" spans="2:18" x14ac:dyDescent="0.3">
      <c r="D96" s="78" t="s">
        <v>83</v>
      </c>
      <c r="E96" s="257">
        <f t="shared" ref="E96:E100" si="45">+E95</f>
        <v>50</v>
      </c>
      <c r="F96" s="220">
        <f>[2]CEA!$J$21</f>
        <v>688.94443991742742</v>
      </c>
      <c r="H96" s="364"/>
      <c r="I96" s="364"/>
      <c r="J96" s="364"/>
      <c r="L96" s="78" t="s">
        <v>83</v>
      </c>
      <c r="M96" s="260">
        <v>150</v>
      </c>
      <c r="N96" s="277">
        <f>[2]CGA!$H$21</f>
        <v>117.29127049062157</v>
      </c>
      <c r="O96" s="220">
        <f>[2]CGA!$H$22</f>
        <v>153.20468050559327</v>
      </c>
    </row>
    <row r="97" spans="4:16" x14ac:dyDescent="0.3">
      <c r="D97" s="78" t="s">
        <v>85</v>
      </c>
      <c r="E97" s="257">
        <f t="shared" si="45"/>
        <v>50</v>
      </c>
      <c r="F97" s="220">
        <f>[2]CEA!$M$21</f>
        <v>754.88626488095235</v>
      </c>
      <c r="L97" s="78" t="s">
        <v>85</v>
      </c>
      <c r="M97" s="260">
        <v>150</v>
      </c>
      <c r="N97" s="277">
        <f>[2]CGA!$J$21</f>
        <v>122.07866928615717</v>
      </c>
      <c r="O97" s="220">
        <f>[2]CGA!$J$22</f>
        <v>159.45793277112773</v>
      </c>
    </row>
    <row r="98" spans="4:16" x14ac:dyDescent="0.3">
      <c r="D98" s="78" t="s">
        <v>87</v>
      </c>
      <c r="E98" s="257">
        <f t="shared" si="45"/>
        <v>50</v>
      </c>
      <c r="F98" s="220">
        <f>[2]CEA!$P$21</f>
        <v>845.4726166666668</v>
      </c>
      <c r="L98" s="78" t="s">
        <v>87</v>
      </c>
      <c r="M98" s="260">
        <v>150</v>
      </c>
      <c r="N98" s="277">
        <f>[2]CGA!$L$21</f>
        <v>126.37721397933173</v>
      </c>
      <c r="O98" s="220">
        <f>[2]CGA!$L$22</f>
        <v>165.07264871377305</v>
      </c>
    </row>
    <row r="99" spans="4:16" x14ac:dyDescent="0.3">
      <c r="D99" s="78" t="s">
        <v>89</v>
      </c>
      <c r="E99" s="257">
        <f t="shared" si="45"/>
        <v>50</v>
      </c>
      <c r="F99" s="220">
        <f>[2]CEA!$S$21</f>
        <v>952.10880255255279</v>
      </c>
      <c r="L99" s="78" t="s">
        <v>89</v>
      </c>
      <c r="M99" s="260">
        <v>150</v>
      </c>
      <c r="N99" s="277">
        <f>[2]CGA!$N$21</f>
        <v>130.04032163090656</v>
      </c>
      <c r="O99" s="220">
        <f>[2]CGA!$N$22</f>
        <v>169.85736316924473</v>
      </c>
    </row>
    <row r="100" spans="4:16" ht="15" thickBot="1" x14ac:dyDescent="0.35">
      <c r="D100" s="80" t="s">
        <v>91</v>
      </c>
      <c r="E100" s="257">
        <f t="shared" si="45"/>
        <v>50</v>
      </c>
      <c r="F100" s="221">
        <f>[2]CEA!$V$21</f>
        <v>1100.8758029513892</v>
      </c>
      <c r="L100" s="84" t="s">
        <v>91</v>
      </c>
      <c r="M100" s="275">
        <v>150</v>
      </c>
      <c r="N100" s="279">
        <f>[2]CGA!$P$21</f>
        <v>135.95124534140228</v>
      </c>
      <c r="O100" s="222">
        <f>[2]CGA!$P$22</f>
        <v>177.57815240421039</v>
      </c>
    </row>
    <row r="101" spans="4:16" ht="15" customHeight="1" x14ac:dyDescent="0.3">
      <c r="D101" s="76" t="s">
        <v>79</v>
      </c>
      <c r="E101" s="49">
        <v>150</v>
      </c>
      <c r="F101" s="219">
        <f>[2]CEA!$E$21</f>
        <v>1801.433132102273</v>
      </c>
      <c r="K101" s="154"/>
      <c r="L101" s="358" t="s">
        <v>269</v>
      </c>
      <c r="M101" s="358"/>
      <c r="N101" s="358"/>
      <c r="O101" s="358"/>
      <c r="P101" s="154"/>
    </row>
    <row r="102" spans="4:16" x14ac:dyDescent="0.3">
      <c r="D102" s="78" t="s">
        <v>81</v>
      </c>
      <c r="E102" s="257">
        <f>+E101</f>
        <v>150</v>
      </c>
      <c r="F102" s="220">
        <f>[2]CEA!$H$21</f>
        <v>1945.1057131901846</v>
      </c>
      <c r="K102" s="154"/>
      <c r="L102" s="359"/>
      <c r="M102" s="359"/>
      <c r="N102" s="359"/>
      <c r="O102" s="359"/>
      <c r="P102" s="154"/>
    </row>
    <row r="103" spans="4:16" x14ac:dyDescent="0.3">
      <c r="D103" s="78" t="s">
        <v>83</v>
      </c>
      <c r="E103" s="257">
        <f t="shared" ref="E103:E107" si="46">+E102</f>
        <v>150</v>
      </c>
      <c r="F103" s="220">
        <f>[2]CEA!$K$21</f>
        <v>2327.8431075624085</v>
      </c>
      <c r="K103" s="154"/>
      <c r="L103" s="359"/>
      <c r="M103" s="359"/>
      <c r="N103" s="359"/>
      <c r="O103" s="359"/>
      <c r="P103" s="154"/>
    </row>
    <row r="104" spans="4:16" x14ac:dyDescent="0.3">
      <c r="D104" s="78" t="s">
        <v>85</v>
      </c>
      <c r="E104" s="257">
        <f t="shared" si="46"/>
        <v>150</v>
      </c>
      <c r="F104" s="220">
        <f>[2]CEA!$N$21</f>
        <v>2830.8234933035715</v>
      </c>
      <c r="K104" s="154"/>
      <c r="L104" s="50"/>
      <c r="M104" s="50"/>
      <c r="N104" s="271"/>
      <c r="O104" s="154"/>
      <c r="P104" s="154"/>
    </row>
    <row r="105" spans="4:16" x14ac:dyDescent="0.3">
      <c r="D105" s="78" t="s">
        <v>87</v>
      </c>
      <c r="E105" s="257">
        <f t="shared" si="46"/>
        <v>150</v>
      </c>
      <c r="F105" s="220">
        <f>[2]CEA!$Q$21</f>
        <v>3644.2785201149431</v>
      </c>
      <c r="K105" s="154"/>
      <c r="L105" s="50"/>
      <c r="M105" s="50"/>
      <c r="N105" s="271"/>
      <c r="O105" s="154"/>
      <c r="P105" s="154"/>
    </row>
    <row r="106" spans="4:16" x14ac:dyDescent="0.3">
      <c r="D106" s="78" t="s">
        <v>89</v>
      </c>
      <c r="E106" s="257">
        <f t="shared" si="46"/>
        <v>150</v>
      </c>
      <c r="F106" s="220">
        <f>[2]CEA!$T$21</f>
        <v>5197.5775614754102</v>
      </c>
      <c r="K106" s="154"/>
      <c r="L106" s="50"/>
      <c r="M106" s="50"/>
      <c r="N106" s="271"/>
      <c r="O106" s="154"/>
      <c r="P106" s="154"/>
    </row>
    <row r="107" spans="4:16" ht="15" thickBot="1" x14ac:dyDescent="0.35">
      <c r="D107" s="84" t="s">
        <v>91</v>
      </c>
      <c r="E107" s="72">
        <f t="shared" si="46"/>
        <v>150</v>
      </c>
      <c r="F107" s="222">
        <f>[2]CEA!$W$21</f>
        <v>8807.006423611112</v>
      </c>
      <c r="K107" s="154"/>
      <c r="L107" s="50"/>
      <c r="M107" s="50"/>
      <c r="N107" s="271"/>
      <c r="O107" s="154"/>
      <c r="P107" s="154"/>
    </row>
    <row r="108" spans="4:16" ht="15" customHeight="1" x14ac:dyDescent="0.3">
      <c r="D108" s="348" t="s">
        <v>269</v>
      </c>
      <c r="E108" s="348"/>
      <c r="F108" s="348"/>
      <c r="G108" s="269"/>
      <c r="H108" s="269"/>
      <c r="K108" s="154"/>
      <c r="L108" s="154"/>
      <c r="M108" s="154"/>
      <c r="N108" s="154"/>
      <c r="O108" s="154"/>
      <c r="P108" s="154"/>
    </row>
    <row r="109" spans="4:16" x14ac:dyDescent="0.3">
      <c r="D109" s="349"/>
      <c r="E109" s="349"/>
      <c r="F109" s="349"/>
      <c r="G109" s="269"/>
      <c r="H109" s="269"/>
      <c r="K109" s="154"/>
      <c r="L109" s="154"/>
      <c r="M109" s="154"/>
      <c r="N109" s="154"/>
      <c r="O109" s="154"/>
      <c r="P109" s="154"/>
    </row>
    <row r="110" spans="4:16" x14ac:dyDescent="0.3">
      <c r="D110" s="349"/>
      <c r="E110" s="349"/>
      <c r="F110" s="349"/>
      <c r="K110" s="154"/>
      <c r="L110" s="154"/>
      <c r="M110" s="154"/>
      <c r="N110" s="154"/>
      <c r="O110" s="154"/>
      <c r="P110" s="154"/>
    </row>
    <row r="111" spans="4:16" x14ac:dyDescent="0.3">
      <c r="D111" s="50"/>
      <c r="E111" s="50"/>
      <c r="F111" s="196"/>
      <c r="K111" s="154"/>
      <c r="L111" s="154"/>
      <c r="M111" s="154"/>
      <c r="N111" s="154"/>
      <c r="O111" s="154"/>
      <c r="P111" s="154"/>
    </row>
    <row r="112" spans="4:16" s="201" customFormat="1" ht="15" thickBot="1" x14ac:dyDescent="0.35">
      <c r="D112" s="202" t="s">
        <v>72</v>
      </c>
    </row>
    <row r="113" spans="4:15" ht="30.75" customHeight="1" thickBot="1" x14ac:dyDescent="0.35">
      <c r="D113" s="47" t="s">
        <v>11</v>
      </c>
      <c r="E113" s="44" t="s">
        <v>128</v>
      </c>
      <c r="F113" s="45" t="s">
        <v>76</v>
      </c>
      <c r="H113" s="352" t="s">
        <v>129</v>
      </c>
      <c r="I113" s="353"/>
      <c r="J113" s="353"/>
      <c r="K113" s="353"/>
      <c r="L113" s="354"/>
      <c r="N113" s="47" t="s">
        <v>11</v>
      </c>
      <c r="O113" s="45" t="s">
        <v>76</v>
      </c>
    </row>
    <row r="114" spans="4:15" x14ac:dyDescent="0.3">
      <c r="D114" s="76" t="s">
        <v>79</v>
      </c>
      <c r="E114" s="49">
        <v>13.5</v>
      </c>
      <c r="F114" s="223">
        <v>288.20400000000001</v>
      </c>
      <c r="H114" s="117" t="s">
        <v>130</v>
      </c>
      <c r="I114" s="118" t="s">
        <v>131</v>
      </c>
      <c r="J114" s="118" t="s">
        <v>132</v>
      </c>
      <c r="K114" s="118" t="s">
        <v>133</v>
      </c>
      <c r="L114" s="119" t="s">
        <v>134</v>
      </c>
      <c r="N114" s="76" t="s">
        <v>79</v>
      </c>
      <c r="O114" s="113">
        <f t="shared" ref="O114:O120" si="47">F114*$H$115+F121*$I$115+F128*$J$115+F135*$K$115+F142*$L$115</f>
        <v>343.77210000000002</v>
      </c>
    </row>
    <row r="115" spans="4:15" ht="15" thickBot="1" x14ac:dyDescent="0.35">
      <c r="D115" s="78" t="s">
        <v>81</v>
      </c>
      <c r="E115" s="56">
        <v>13.5</v>
      </c>
      <c r="F115" s="224">
        <v>336.23800000000006</v>
      </c>
      <c r="H115" s="107">
        <v>0.16</v>
      </c>
      <c r="I115" s="108">
        <v>0.52</v>
      </c>
      <c r="J115" s="108">
        <v>0.21</v>
      </c>
      <c r="K115" s="120">
        <v>0</v>
      </c>
      <c r="L115" s="121">
        <v>0.11</v>
      </c>
      <c r="N115" s="78" t="s">
        <v>81</v>
      </c>
      <c r="O115" s="114">
        <f t="shared" si="47"/>
        <v>401.06745000000001</v>
      </c>
    </row>
    <row r="116" spans="4:15" x14ac:dyDescent="0.3">
      <c r="D116" s="78" t="s">
        <v>83</v>
      </c>
      <c r="E116" s="56">
        <v>13.5</v>
      </c>
      <c r="F116" s="224">
        <v>380.84100000000007</v>
      </c>
      <c r="N116" s="78" t="s">
        <v>83</v>
      </c>
      <c r="O116" s="114">
        <f t="shared" si="47"/>
        <v>454.27027500000008</v>
      </c>
    </row>
    <row r="117" spans="4:15" x14ac:dyDescent="0.3">
      <c r="D117" s="78" t="s">
        <v>85</v>
      </c>
      <c r="E117" s="56">
        <v>13.5</v>
      </c>
      <c r="F117" s="224">
        <v>435.73700000000002</v>
      </c>
      <c r="N117" s="78" t="s">
        <v>85</v>
      </c>
      <c r="O117" s="114">
        <f t="shared" si="47"/>
        <v>522.78076499999997</v>
      </c>
    </row>
    <row r="118" spans="4:15" x14ac:dyDescent="0.3">
      <c r="D118" s="78" t="s">
        <v>87</v>
      </c>
      <c r="E118" s="56">
        <v>13.5</v>
      </c>
      <c r="F118" s="224">
        <v>497.495</v>
      </c>
      <c r="N118" s="78" t="s">
        <v>87</v>
      </c>
      <c r="O118" s="114">
        <f t="shared" si="47"/>
        <v>593.41612499999997</v>
      </c>
    </row>
    <row r="119" spans="4:15" x14ac:dyDescent="0.3">
      <c r="D119" s="78" t="s">
        <v>89</v>
      </c>
      <c r="E119" s="56">
        <v>13.5</v>
      </c>
      <c r="F119" s="224">
        <v>562.68399999999997</v>
      </c>
      <c r="N119" s="78" t="s">
        <v>89</v>
      </c>
      <c r="O119" s="114">
        <f t="shared" si="47"/>
        <v>671.17410000000007</v>
      </c>
    </row>
    <row r="120" spans="4:15" ht="15" thickBot="1" x14ac:dyDescent="0.35">
      <c r="D120" s="80" t="s">
        <v>91</v>
      </c>
      <c r="E120" s="62">
        <v>13.5</v>
      </c>
      <c r="F120" s="225">
        <v>617.58000000000004</v>
      </c>
      <c r="N120" s="84" t="s">
        <v>91</v>
      </c>
      <c r="O120" s="115">
        <f t="shared" si="47"/>
        <v>736.65449999999998</v>
      </c>
    </row>
    <row r="121" spans="4:15" x14ac:dyDescent="0.3">
      <c r="D121" s="76" t="s">
        <v>79</v>
      </c>
      <c r="E121" s="49">
        <v>15.5</v>
      </c>
      <c r="F121" s="223">
        <v>327.68400000000003</v>
      </c>
    </row>
    <row r="122" spans="4:15" x14ac:dyDescent="0.3">
      <c r="D122" s="78" t="s">
        <v>81</v>
      </c>
      <c r="E122" s="56">
        <v>15.5</v>
      </c>
      <c r="F122" s="224">
        <v>382.298</v>
      </c>
    </row>
    <row r="123" spans="4:15" x14ac:dyDescent="0.3">
      <c r="D123" s="78" t="s">
        <v>83</v>
      </c>
      <c r="E123" s="56">
        <v>15.5</v>
      </c>
      <c r="F123" s="224">
        <v>433.01100000000008</v>
      </c>
    </row>
    <row r="124" spans="4:15" x14ac:dyDescent="0.3">
      <c r="D124" s="78" t="s">
        <v>85</v>
      </c>
      <c r="E124" s="56">
        <v>15.5</v>
      </c>
      <c r="F124" s="224">
        <v>495.42700000000002</v>
      </c>
    </row>
    <row r="125" spans="4:15" x14ac:dyDescent="0.3">
      <c r="D125" s="78" t="s">
        <v>87</v>
      </c>
      <c r="E125" s="56">
        <v>15.5</v>
      </c>
      <c r="F125" s="224">
        <v>565.64499999999998</v>
      </c>
    </row>
    <row r="126" spans="4:15" x14ac:dyDescent="0.3">
      <c r="D126" s="78" t="s">
        <v>89</v>
      </c>
      <c r="E126" s="56">
        <v>15.5</v>
      </c>
      <c r="F126" s="224">
        <v>639.76400000000001</v>
      </c>
    </row>
    <row r="127" spans="4:15" ht="15" thickBot="1" x14ac:dyDescent="0.35">
      <c r="D127" s="80" t="s">
        <v>91</v>
      </c>
      <c r="E127" s="62">
        <v>15.5</v>
      </c>
      <c r="F127" s="225">
        <v>702.18</v>
      </c>
    </row>
    <row r="128" spans="4:15" x14ac:dyDescent="0.3">
      <c r="D128" s="76" t="s">
        <v>79</v>
      </c>
      <c r="E128" s="49">
        <v>17.5</v>
      </c>
      <c r="F128" s="223">
        <v>367.16399999999999</v>
      </c>
    </row>
    <row r="129" spans="4:6" x14ac:dyDescent="0.3">
      <c r="D129" s="78" t="s">
        <v>81</v>
      </c>
      <c r="E129" s="56">
        <v>17.5</v>
      </c>
      <c r="F129" s="224">
        <v>428.358</v>
      </c>
    </row>
    <row r="130" spans="4:6" x14ac:dyDescent="0.3">
      <c r="D130" s="78" t="s">
        <v>83</v>
      </c>
      <c r="E130" s="56">
        <v>17.5</v>
      </c>
      <c r="F130" s="224">
        <v>485.18100000000004</v>
      </c>
    </row>
    <row r="131" spans="4:6" x14ac:dyDescent="0.3">
      <c r="D131" s="78" t="s">
        <v>85</v>
      </c>
      <c r="E131" s="56">
        <v>17.5</v>
      </c>
      <c r="F131" s="224">
        <v>563.85900000000004</v>
      </c>
    </row>
    <row r="132" spans="4:6" x14ac:dyDescent="0.3">
      <c r="D132" s="78" t="s">
        <v>87</v>
      </c>
      <c r="E132" s="56">
        <v>17.5</v>
      </c>
      <c r="F132" s="224">
        <v>633.79499999999996</v>
      </c>
    </row>
    <row r="133" spans="4:6" x14ac:dyDescent="0.3">
      <c r="D133" s="78" t="s">
        <v>89</v>
      </c>
      <c r="E133" s="56">
        <v>17.5</v>
      </c>
      <c r="F133" s="224">
        <v>716.84400000000005</v>
      </c>
    </row>
    <row r="134" spans="4:6" ht="15" thickBot="1" x14ac:dyDescent="0.35">
      <c r="D134" s="84" t="s">
        <v>91</v>
      </c>
      <c r="E134" s="72">
        <v>17.5</v>
      </c>
      <c r="F134" s="226">
        <v>786.78</v>
      </c>
    </row>
    <row r="135" spans="4:6" x14ac:dyDescent="0.3">
      <c r="D135" s="86" t="s">
        <v>79</v>
      </c>
      <c r="E135" s="88">
        <v>19.5</v>
      </c>
      <c r="F135" s="227">
        <v>406.64400000000001</v>
      </c>
    </row>
    <row r="136" spans="4:6" x14ac:dyDescent="0.3">
      <c r="D136" s="78" t="s">
        <v>81</v>
      </c>
      <c r="E136" s="56">
        <v>19.5</v>
      </c>
      <c r="F136" s="224">
        <v>474.41800000000001</v>
      </c>
    </row>
    <row r="137" spans="4:6" x14ac:dyDescent="0.3">
      <c r="D137" s="78" t="s">
        <v>83</v>
      </c>
      <c r="E137" s="56">
        <v>19.5</v>
      </c>
      <c r="F137" s="224">
        <v>537.35100000000011</v>
      </c>
    </row>
    <row r="138" spans="4:6" x14ac:dyDescent="0.3">
      <c r="D138" s="78" t="s">
        <v>85</v>
      </c>
      <c r="E138" s="56">
        <v>19.5</v>
      </c>
      <c r="F138" s="224">
        <v>624.48900000000003</v>
      </c>
    </row>
    <row r="139" spans="4:6" x14ac:dyDescent="0.3">
      <c r="D139" s="78" t="s">
        <v>87</v>
      </c>
      <c r="E139" s="56">
        <v>19.5</v>
      </c>
      <c r="F139" s="224">
        <v>701.94500000000005</v>
      </c>
    </row>
    <row r="140" spans="4:6" x14ac:dyDescent="0.3">
      <c r="D140" s="78" t="s">
        <v>89</v>
      </c>
      <c r="E140" s="56">
        <v>19.5</v>
      </c>
      <c r="F140" s="224">
        <v>793.92400000000009</v>
      </c>
    </row>
    <row r="141" spans="4:6" ht="15" thickBot="1" x14ac:dyDescent="0.35">
      <c r="D141" s="84" t="s">
        <v>91</v>
      </c>
      <c r="E141" s="72">
        <v>19.5</v>
      </c>
      <c r="F141" s="226">
        <v>871.38</v>
      </c>
    </row>
    <row r="142" spans="4:6" x14ac:dyDescent="0.3">
      <c r="D142" s="86" t="s">
        <v>79</v>
      </c>
      <c r="E142" s="88">
        <v>22</v>
      </c>
      <c r="F142" s="227">
        <v>455.99400000000003</v>
      </c>
    </row>
    <row r="143" spans="4:6" x14ac:dyDescent="0.3">
      <c r="D143" s="78" t="s">
        <v>81</v>
      </c>
      <c r="E143" s="56">
        <v>22</v>
      </c>
      <c r="F143" s="224">
        <v>531.99300000000005</v>
      </c>
    </row>
    <row r="144" spans="4:6" x14ac:dyDescent="0.3">
      <c r="D144" s="78" t="s">
        <v>83</v>
      </c>
      <c r="E144" s="56">
        <v>22</v>
      </c>
      <c r="F144" s="224">
        <v>602.56350000000009</v>
      </c>
    </row>
    <row r="145" spans="4:10" x14ac:dyDescent="0.3">
      <c r="D145" s="78" t="s">
        <v>85</v>
      </c>
      <c r="E145" s="56">
        <v>22</v>
      </c>
      <c r="F145" s="224">
        <v>700.27650000000006</v>
      </c>
    </row>
    <row r="146" spans="4:10" x14ac:dyDescent="0.3">
      <c r="D146" s="78" t="s">
        <v>87</v>
      </c>
      <c r="E146" s="56">
        <v>22</v>
      </c>
      <c r="F146" s="224">
        <v>787.13250000000005</v>
      </c>
    </row>
    <row r="147" spans="4:10" x14ac:dyDescent="0.3">
      <c r="D147" s="78" t="s">
        <v>89</v>
      </c>
      <c r="E147" s="56">
        <v>22</v>
      </c>
      <c r="F147" s="224">
        <v>890.27400000000011</v>
      </c>
    </row>
    <row r="148" spans="4:10" ht="15" thickBot="1" x14ac:dyDescent="0.35">
      <c r="D148" s="84" t="s">
        <v>91</v>
      </c>
      <c r="E148" s="72">
        <v>22</v>
      </c>
      <c r="F148" s="226">
        <v>977.13</v>
      </c>
    </row>
    <row r="149" spans="4:10" x14ac:dyDescent="0.3">
      <c r="D149" s="344" t="s">
        <v>269</v>
      </c>
      <c r="E149" s="344"/>
      <c r="F149" s="344"/>
    </row>
    <row r="150" spans="4:10" x14ac:dyDescent="0.3">
      <c r="D150" s="345"/>
      <c r="E150" s="345"/>
      <c r="F150" s="345"/>
    </row>
    <row r="151" spans="4:10" x14ac:dyDescent="0.3">
      <c r="D151" s="345"/>
      <c r="E151" s="345"/>
      <c r="F151" s="345"/>
    </row>
    <row r="153" spans="4:10" s="201" customFormat="1" ht="15" thickBot="1" x14ac:dyDescent="0.35">
      <c r="D153" s="202" t="s">
        <v>73</v>
      </c>
    </row>
    <row r="154" spans="4:10" ht="30.75" customHeight="1" thickBot="1" x14ac:dyDescent="0.35">
      <c r="D154" s="47" t="s">
        <v>11</v>
      </c>
      <c r="E154" s="44" t="s">
        <v>128</v>
      </c>
      <c r="F154" s="45" t="s">
        <v>76</v>
      </c>
      <c r="H154" s="355" t="s">
        <v>292</v>
      </c>
      <c r="I154" s="356"/>
      <c r="J154" s="357"/>
    </row>
    <row r="155" spans="4:10" x14ac:dyDescent="0.3">
      <c r="D155" s="76" t="s">
        <v>79</v>
      </c>
      <c r="E155" s="49">
        <v>8</v>
      </c>
      <c r="F155" s="290">
        <f>[3]Resumen!$D$4</f>
        <v>21.566399999999998</v>
      </c>
      <c r="H155" s="117" t="s">
        <v>293</v>
      </c>
      <c r="I155" s="288" t="s">
        <v>294</v>
      </c>
      <c r="J155" s="119" t="s">
        <v>295</v>
      </c>
    </row>
    <row r="156" spans="4:10" ht="15" thickBot="1" x14ac:dyDescent="0.35">
      <c r="D156" s="78" t="s">
        <v>81</v>
      </c>
      <c r="E156" s="192">
        <f>+E155</f>
        <v>8</v>
      </c>
      <c r="F156" s="291">
        <f>[3]Resumen!$E$4</f>
        <v>25.004000000000005</v>
      </c>
      <c r="H156" s="107">
        <v>0.3</v>
      </c>
      <c r="I156" s="289">
        <v>0.56000000000000005</v>
      </c>
      <c r="J156" s="110">
        <v>0.14000000000000001</v>
      </c>
    </row>
    <row r="157" spans="4:10" x14ac:dyDescent="0.3">
      <c r="D157" s="78" t="s">
        <v>83</v>
      </c>
      <c r="E157" s="257">
        <f t="shared" ref="E157:E161" si="48">+E156</f>
        <v>8</v>
      </c>
      <c r="F157" s="291">
        <f>[3]Resumen!$F$4</f>
        <v>33.041000000000004</v>
      </c>
    </row>
    <row r="158" spans="4:10" x14ac:dyDescent="0.3">
      <c r="D158" s="78" t="s">
        <v>85</v>
      </c>
      <c r="E158" s="257">
        <f t="shared" si="48"/>
        <v>8</v>
      </c>
      <c r="F158" s="291">
        <f>[3]Resumen!$G$4</f>
        <v>47.775500000000001</v>
      </c>
    </row>
    <row r="159" spans="4:10" x14ac:dyDescent="0.3">
      <c r="D159" s="78" t="s">
        <v>87</v>
      </c>
      <c r="E159" s="257">
        <f t="shared" si="48"/>
        <v>8</v>
      </c>
      <c r="F159" s="291">
        <f>[3]Resumen!$H$4</f>
        <v>62.956500000000005</v>
      </c>
    </row>
    <row r="160" spans="4:10" x14ac:dyDescent="0.3">
      <c r="D160" s="78" t="s">
        <v>89</v>
      </c>
      <c r="E160" s="257">
        <f t="shared" si="48"/>
        <v>8</v>
      </c>
      <c r="F160" s="291">
        <f>[3]Resumen!$I$4</f>
        <v>71.886500000000012</v>
      </c>
    </row>
    <row r="161" spans="4:6" ht="15" thickBot="1" x14ac:dyDescent="0.35">
      <c r="D161" s="80" t="s">
        <v>91</v>
      </c>
      <c r="E161" s="257">
        <f t="shared" si="48"/>
        <v>8</v>
      </c>
      <c r="F161" s="292">
        <f>[3]Resumen!$J$4</f>
        <v>75.905000000000015</v>
      </c>
    </row>
    <row r="162" spans="4:6" x14ac:dyDescent="0.3">
      <c r="D162" s="76" t="s">
        <v>79</v>
      </c>
      <c r="E162" s="49">
        <v>10</v>
      </c>
      <c r="F162" s="290">
        <f>[3]Resumen!$D$5</f>
        <v>23.856000000000005</v>
      </c>
    </row>
    <row r="163" spans="4:6" x14ac:dyDescent="0.3">
      <c r="D163" s="78" t="s">
        <v>81</v>
      </c>
      <c r="E163" s="257">
        <f>+E162</f>
        <v>10</v>
      </c>
      <c r="F163" s="291">
        <f>[3]Resumen!$E$5</f>
        <v>27.635999999999999</v>
      </c>
    </row>
    <row r="164" spans="4:6" x14ac:dyDescent="0.3">
      <c r="D164" s="78" t="s">
        <v>83</v>
      </c>
      <c r="E164" s="257">
        <f t="shared" ref="E164:E168" si="49">+E163</f>
        <v>10</v>
      </c>
      <c r="F164" s="291">
        <f>[3]Resumen!$F$5</f>
        <v>36.518999999999998</v>
      </c>
    </row>
    <row r="165" spans="4:6" x14ac:dyDescent="0.3">
      <c r="D165" s="78" t="s">
        <v>85</v>
      </c>
      <c r="E165" s="257">
        <f t="shared" si="49"/>
        <v>10</v>
      </c>
      <c r="F165" s="291">
        <f>[3]Resumen!$G$5</f>
        <v>52.804499999999997</v>
      </c>
    </row>
    <row r="166" spans="4:6" x14ac:dyDescent="0.3">
      <c r="D166" s="78" t="s">
        <v>87</v>
      </c>
      <c r="E166" s="257">
        <f t="shared" si="49"/>
        <v>10</v>
      </c>
      <c r="F166" s="291">
        <f>[3]Resumen!$H$5</f>
        <v>69.583500000000001</v>
      </c>
    </row>
    <row r="167" spans="4:6" x14ac:dyDescent="0.3">
      <c r="D167" s="78" t="s">
        <v>89</v>
      </c>
      <c r="E167" s="257">
        <f t="shared" si="49"/>
        <v>10</v>
      </c>
      <c r="F167" s="291">
        <f>[3]Resumen!$I$5</f>
        <v>79.453500000000005</v>
      </c>
    </row>
    <row r="168" spans="4:6" ht="15" thickBot="1" x14ac:dyDescent="0.35">
      <c r="D168" s="84" t="s">
        <v>91</v>
      </c>
      <c r="E168" s="257">
        <f t="shared" si="49"/>
        <v>10</v>
      </c>
      <c r="F168" s="292">
        <f>[3]Resumen!$J$5</f>
        <v>83.894999999999996</v>
      </c>
    </row>
    <row r="169" spans="4:6" x14ac:dyDescent="0.3">
      <c r="D169" s="76" t="s">
        <v>79</v>
      </c>
      <c r="E169" s="49">
        <v>15</v>
      </c>
      <c r="F169" s="290">
        <f>[3]Resumen!$D$6</f>
        <v>29.58</v>
      </c>
    </row>
    <row r="170" spans="4:6" x14ac:dyDescent="0.3">
      <c r="D170" s="78" t="s">
        <v>81</v>
      </c>
      <c r="E170" s="257">
        <f>+E169</f>
        <v>15</v>
      </c>
      <c r="F170" s="291">
        <f>[3]Resumen!$E$6</f>
        <v>34.216000000000001</v>
      </c>
    </row>
    <row r="171" spans="4:6" x14ac:dyDescent="0.3">
      <c r="D171" s="78" t="s">
        <v>83</v>
      </c>
      <c r="E171" s="257">
        <f t="shared" ref="E171:E175" si="50">+E170</f>
        <v>15</v>
      </c>
      <c r="F171" s="291">
        <f>[3]Resumen!$F$6</f>
        <v>45.214000000000006</v>
      </c>
    </row>
    <row r="172" spans="4:6" x14ac:dyDescent="0.3">
      <c r="D172" s="78" t="s">
        <v>85</v>
      </c>
      <c r="E172" s="257">
        <f t="shared" si="50"/>
        <v>15</v>
      </c>
      <c r="F172" s="291">
        <f>[3]Resumen!$G$6</f>
        <v>65.376999999999995</v>
      </c>
    </row>
    <row r="173" spans="4:6" x14ac:dyDescent="0.3">
      <c r="D173" s="78" t="s">
        <v>87</v>
      </c>
      <c r="E173" s="257">
        <f t="shared" si="50"/>
        <v>15</v>
      </c>
      <c r="F173" s="291">
        <f>[3]Resumen!$H$6</f>
        <v>86.15100000000001</v>
      </c>
    </row>
    <row r="174" spans="4:6" x14ac:dyDescent="0.3">
      <c r="D174" s="78" t="s">
        <v>89</v>
      </c>
      <c r="E174" s="257">
        <f t="shared" si="50"/>
        <v>15</v>
      </c>
      <c r="F174" s="291">
        <f>[3]Resumen!$I$6</f>
        <v>98.371000000000009</v>
      </c>
    </row>
    <row r="175" spans="4:6" ht="15" thickBot="1" x14ac:dyDescent="0.35">
      <c r="D175" s="80" t="s">
        <v>91</v>
      </c>
      <c r="E175" s="257">
        <f t="shared" si="50"/>
        <v>15</v>
      </c>
      <c r="F175" s="293">
        <f>[3]Resumen!$J$6</f>
        <v>103.87</v>
      </c>
    </row>
    <row r="176" spans="4:6" x14ac:dyDescent="0.3">
      <c r="D176" s="344" t="s">
        <v>269</v>
      </c>
      <c r="E176" s="344"/>
      <c r="F176" s="344"/>
    </row>
    <row r="177" spans="2:14" x14ac:dyDescent="0.3">
      <c r="D177" s="345"/>
      <c r="E177" s="345"/>
      <c r="F177" s="345"/>
    </row>
    <row r="178" spans="2:14" x14ac:dyDescent="0.3">
      <c r="D178" s="345"/>
      <c r="E178" s="345"/>
      <c r="F178" s="345"/>
    </row>
    <row r="179" spans="2:14" x14ac:dyDescent="0.3">
      <c r="D179" s="50"/>
      <c r="E179" s="50"/>
      <c r="F179" s="197"/>
    </row>
    <row r="180" spans="2:14" s="201" customFormat="1" ht="15" thickBot="1" x14ac:dyDescent="0.35">
      <c r="D180" s="202" t="s">
        <v>149</v>
      </c>
      <c r="J180" s="201" t="s">
        <v>114</v>
      </c>
    </row>
    <row r="181" spans="2:14" ht="30.75" customHeight="1" thickBot="1" x14ac:dyDescent="0.35">
      <c r="D181" s="133" t="s">
        <v>52</v>
      </c>
      <c r="E181" s="44" t="s">
        <v>143</v>
      </c>
      <c r="F181" s="44" t="s">
        <v>11</v>
      </c>
      <c r="G181" s="44" t="s">
        <v>112</v>
      </c>
      <c r="H181" s="44" t="s">
        <v>76</v>
      </c>
      <c r="J181" s="90" t="s">
        <v>138</v>
      </c>
      <c r="K181" s="91" t="s">
        <v>139</v>
      </c>
      <c r="L181" s="91" t="s">
        <v>140</v>
      </c>
      <c r="M181" s="91" t="s">
        <v>141</v>
      </c>
      <c r="N181" s="92" t="s">
        <v>142</v>
      </c>
    </row>
    <row r="182" spans="2:14" ht="15" thickBot="1" x14ac:dyDescent="0.35">
      <c r="B182" s="369" t="s">
        <v>138</v>
      </c>
      <c r="D182" s="76" t="s">
        <v>113</v>
      </c>
      <c r="E182" s="77">
        <v>10500</v>
      </c>
      <c r="F182" s="49" t="s">
        <v>79</v>
      </c>
      <c r="G182" s="49">
        <v>8</v>
      </c>
      <c r="H182" s="210">
        <v>139.03448275862021</v>
      </c>
      <c r="J182" s="93">
        <v>0.3</v>
      </c>
      <c r="K182" s="94">
        <v>0.38</v>
      </c>
      <c r="L182" s="94">
        <v>0.18</v>
      </c>
      <c r="M182" s="94">
        <v>0.03</v>
      </c>
      <c r="N182" s="95">
        <v>0.11</v>
      </c>
    </row>
    <row r="183" spans="2:14" x14ac:dyDescent="0.3">
      <c r="B183" s="369"/>
      <c r="D183" s="78" t="s">
        <v>113</v>
      </c>
      <c r="E183" s="79">
        <v>10500</v>
      </c>
      <c r="F183" s="136" t="s">
        <v>81</v>
      </c>
      <c r="G183" s="136">
        <v>8</v>
      </c>
      <c r="H183" s="205">
        <v>150.72897196261627</v>
      </c>
    </row>
    <row r="184" spans="2:14" x14ac:dyDescent="0.3">
      <c r="B184" s="369"/>
      <c r="D184" s="78" t="s">
        <v>113</v>
      </c>
      <c r="E184" s="79">
        <v>10500</v>
      </c>
      <c r="F184" s="136" t="s">
        <v>83</v>
      </c>
      <c r="G184" s="136">
        <v>8</v>
      </c>
      <c r="H184" s="205">
        <v>166.26804123711281</v>
      </c>
    </row>
    <row r="185" spans="2:14" x14ac:dyDescent="0.3">
      <c r="B185" s="369"/>
      <c r="D185" s="78" t="s">
        <v>113</v>
      </c>
      <c r="E185" s="79">
        <v>10500</v>
      </c>
      <c r="F185" s="136" t="s">
        <v>85</v>
      </c>
      <c r="G185" s="136">
        <v>8</v>
      </c>
      <c r="H185" s="205">
        <v>185.37931034482693</v>
      </c>
      <c r="J185" s="350"/>
      <c r="K185" s="351"/>
      <c r="L185" s="127" t="s">
        <v>124</v>
      </c>
    </row>
    <row r="186" spans="2:14" ht="15" customHeight="1" x14ac:dyDescent="0.3">
      <c r="B186" s="369"/>
      <c r="D186" s="78" t="s">
        <v>113</v>
      </c>
      <c r="E186" s="79">
        <v>10500</v>
      </c>
      <c r="F186" s="136" t="s">
        <v>87</v>
      </c>
      <c r="G186" s="136">
        <v>8</v>
      </c>
      <c r="H186" s="205">
        <v>209.4545454545447</v>
      </c>
      <c r="J186" s="346" t="s">
        <v>125</v>
      </c>
      <c r="K186" s="347"/>
      <c r="L186" s="126">
        <f>H182*$J$182+H189*$K$182+H196*$L$182+H203*$M$182+H210*$N$182</f>
        <v>230.39999999999918</v>
      </c>
    </row>
    <row r="187" spans="2:14" ht="15" customHeight="1" x14ac:dyDescent="0.3">
      <c r="B187" s="369"/>
      <c r="D187" s="78" t="s">
        <v>113</v>
      </c>
      <c r="E187" s="79">
        <v>10500</v>
      </c>
      <c r="F187" s="136" t="s">
        <v>89</v>
      </c>
      <c r="G187" s="136">
        <v>8</v>
      </c>
      <c r="H187" s="205">
        <v>240.71641791044686</v>
      </c>
      <c r="J187" s="346" t="s">
        <v>126</v>
      </c>
      <c r="K187" s="347"/>
      <c r="L187" s="126">
        <f t="shared" ref="L187:L192" si="51">H183*$J$182+H190*$K$182+H197*$L$182+H204*$M$182+H211*$N$182</f>
        <v>249.77943925233555</v>
      </c>
    </row>
    <row r="188" spans="2:14" ht="15.75" customHeight="1" thickBot="1" x14ac:dyDescent="0.35">
      <c r="B188" s="369"/>
      <c r="D188" s="80" t="s">
        <v>113</v>
      </c>
      <c r="E188" s="81">
        <v>10500</v>
      </c>
      <c r="F188" s="62" t="s">
        <v>91</v>
      </c>
      <c r="G188" s="62">
        <v>8</v>
      </c>
      <c r="H188" s="208">
        <v>260.1290322580636</v>
      </c>
      <c r="J188" s="346" t="s">
        <v>127</v>
      </c>
      <c r="K188" s="347"/>
      <c r="L188" s="126">
        <f t="shared" si="51"/>
        <v>275.52989690721552</v>
      </c>
    </row>
    <row r="189" spans="2:14" ht="15" customHeight="1" x14ac:dyDescent="0.3">
      <c r="B189" s="369" t="s">
        <v>139</v>
      </c>
      <c r="D189" s="76" t="s">
        <v>113</v>
      </c>
      <c r="E189" s="82">
        <v>15000</v>
      </c>
      <c r="F189" s="49" t="s">
        <v>79</v>
      </c>
      <c r="G189" s="49">
        <v>8</v>
      </c>
      <c r="H189" s="210">
        <v>198.6206896551717</v>
      </c>
      <c r="J189" s="346" t="s">
        <v>144</v>
      </c>
      <c r="K189" s="347"/>
      <c r="L189" s="126">
        <f t="shared" si="51"/>
        <v>307.19999999999891</v>
      </c>
    </row>
    <row r="190" spans="2:14" ht="15" customHeight="1" x14ac:dyDescent="0.3">
      <c r="B190" s="369"/>
      <c r="D190" s="78" t="s">
        <v>113</v>
      </c>
      <c r="E190" s="83">
        <v>15000</v>
      </c>
      <c r="F190" s="136" t="s">
        <v>81</v>
      </c>
      <c r="G190" s="136">
        <v>8</v>
      </c>
      <c r="H190" s="205">
        <v>215.32710280373755</v>
      </c>
      <c r="J190" s="346" t="s">
        <v>145</v>
      </c>
      <c r="K190" s="347"/>
      <c r="L190" s="126">
        <f t="shared" si="51"/>
        <v>347.0961038961027</v>
      </c>
    </row>
    <row r="191" spans="2:14" ht="15" customHeight="1" x14ac:dyDescent="0.3">
      <c r="B191" s="369"/>
      <c r="D191" s="78" t="s">
        <v>113</v>
      </c>
      <c r="E191" s="83">
        <v>15000</v>
      </c>
      <c r="F191" s="136" t="s">
        <v>83</v>
      </c>
      <c r="G191" s="136">
        <v>8</v>
      </c>
      <c r="H191" s="205">
        <v>237.52577319587542</v>
      </c>
      <c r="J191" s="346" t="s">
        <v>146</v>
      </c>
      <c r="K191" s="347"/>
      <c r="L191" s="126">
        <f t="shared" si="51"/>
        <v>398.90149253731192</v>
      </c>
    </row>
    <row r="192" spans="2:14" ht="15" customHeight="1" x14ac:dyDescent="0.3">
      <c r="B192" s="369"/>
      <c r="D192" s="78" t="s">
        <v>113</v>
      </c>
      <c r="E192" s="83">
        <v>15000</v>
      </c>
      <c r="F192" s="136" t="s">
        <v>85</v>
      </c>
      <c r="G192" s="136">
        <v>8</v>
      </c>
      <c r="H192" s="205">
        <v>264.8275862068956</v>
      </c>
      <c r="J192" s="346" t="s">
        <v>147</v>
      </c>
      <c r="K192" s="347"/>
      <c r="L192" s="126">
        <f t="shared" si="51"/>
        <v>431.07096774193394</v>
      </c>
    </row>
    <row r="193" spans="2:8" x14ac:dyDescent="0.3">
      <c r="B193" s="369"/>
      <c r="D193" s="78" t="s">
        <v>113</v>
      </c>
      <c r="E193" s="83">
        <v>15000</v>
      </c>
      <c r="F193" s="136" t="s">
        <v>87</v>
      </c>
      <c r="G193" s="136">
        <v>8</v>
      </c>
      <c r="H193" s="205">
        <v>299.22077922077813</v>
      </c>
    </row>
    <row r="194" spans="2:8" x14ac:dyDescent="0.3">
      <c r="B194" s="369"/>
      <c r="D194" s="78" t="s">
        <v>113</v>
      </c>
      <c r="E194" s="83">
        <v>15000</v>
      </c>
      <c r="F194" s="136" t="s">
        <v>89</v>
      </c>
      <c r="G194" s="136">
        <v>8</v>
      </c>
      <c r="H194" s="205">
        <v>343.88059701492409</v>
      </c>
    </row>
    <row r="195" spans="2:8" ht="15" thickBot="1" x14ac:dyDescent="0.35">
      <c r="B195" s="369"/>
      <c r="D195" s="84" t="s">
        <v>113</v>
      </c>
      <c r="E195" s="85">
        <v>15000</v>
      </c>
      <c r="F195" s="72" t="s">
        <v>91</v>
      </c>
      <c r="G195" s="72">
        <v>8</v>
      </c>
      <c r="H195" s="212">
        <v>371.6129032258051</v>
      </c>
    </row>
    <row r="196" spans="2:8" x14ac:dyDescent="0.3">
      <c r="B196" s="369" t="s">
        <v>140</v>
      </c>
      <c r="D196" s="86" t="s">
        <v>113</v>
      </c>
      <c r="E196" s="87">
        <v>21000</v>
      </c>
      <c r="F196" s="88" t="s">
        <v>79</v>
      </c>
      <c r="G196" s="88">
        <v>8</v>
      </c>
      <c r="H196" s="203">
        <v>278.06896551724043</v>
      </c>
    </row>
    <row r="197" spans="2:8" x14ac:dyDescent="0.3">
      <c r="B197" s="369"/>
      <c r="D197" s="78" t="s">
        <v>113</v>
      </c>
      <c r="E197" s="83">
        <v>21000</v>
      </c>
      <c r="F197" s="136" t="s">
        <v>81</v>
      </c>
      <c r="G197" s="136">
        <v>8</v>
      </c>
      <c r="H197" s="205">
        <v>301.45794392523254</v>
      </c>
    </row>
    <row r="198" spans="2:8" x14ac:dyDescent="0.3">
      <c r="B198" s="369"/>
      <c r="D198" s="78" t="s">
        <v>113</v>
      </c>
      <c r="E198" s="83">
        <v>21000</v>
      </c>
      <c r="F198" s="136" t="s">
        <v>83</v>
      </c>
      <c r="G198" s="136">
        <v>8</v>
      </c>
      <c r="H198" s="205">
        <v>332.53608247422562</v>
      </c>
    </row>
    <row r="199" spans="2:8" x14ac:dyDescent="0.3">
      <c r="B199" s="369"/>
      <c r="D199" s="78" t="s">
        <v>113</v>
      </c>
      <c r="E199" s="83">
        <v>21000</v>
      </c>
      <c r="F199" s="125" t="s">
        <v>85</v>
      </c>
      <c r="G199" s="125">
        <v>8</v>
      </c>
      <c r="H199" s="205">
        <v>370.75862068965387</v>
      </c>
    </row>
    <row r="200" spans="2:8" x14ac:dyDescent="0.3">
      <c r="B200" s="369"/>
      <c r="D200" s="78" t="s">
        <v>113</v>
      </c>
      <c r="E200" s="83">
        <v>21000</v>
      </c>
      <c r="F200" s="125" t="s">
        <v>87</v>
      </c>
      <c r="G200" s="125">
        <v>8</v>
      </c>
      <c r="H200" s="205">
        <v>418.9090909090894</v>
      </c>
    </row>
    <row r="201" spans="2:8" x14ac:dyDescent="0.3">
      <c r="B201" s="369"/>
      <c r="D201" s="78" t="s">
        <v>113</v>
      </c>
      <c r="E201" s="83">
        <v>21000</v>
      </c>
      <c r="F201" s="125" t="s">
        <v>89</v>
      </c>
      <c r="G201" s="125">
        <v>8</v>
      </c>
      <c r="H201" s="205">
        <v>481.43283582089373</v>
      </c>
    </row>
    <row r="202" spans="2:8" ht="15" thickBot="1" x14ac:dyDescent="0.35">
      <c r="B202" s="369"/>
      <c r="D202" s="84" t="s">
        <v>113</v>
      </c>
      <c r="E202" s="85">
        <v>21000</v>
      </c>
      <c r="F202" s="72" t="s">
        <v>91</v>
      </c>
      <c r="G202" s="72">
        <v>8</v>
      </c>
      <c r="H202" s="212">
        <v>520.25806451612721</v>
      </c>
    </row>
    <row r="203" spans="2:8" x14ac:dyDescent="0.3">
      <c r="B203" s="369" t="s">
        <v>141</v>
      </c>
      <c r="D203" s="86" t="s">
        <v>113</v>
      </c>
      <c r="E203" s="87">
        <v>27000</v>
      </c>
      <c r="F203" s="88" t="s">
        <v>79</v>
      </c>
      <c r="G203" s="88">
        <v>8</v>
      </c>
      <c r="H203" s="203">
        <v>357.5172413793091</v>
      </c>
    </row>
    <row r="204" spans="2:8" x14ac:dyDescent="0.3">
      <c r="B204" s="369"/>
      <c r="D204" s="78" t="s">
        <v>113</v>
      </c>
      <c r="E204" s="83">
        <v>27000</v>
      </c>
      <c r="F204" s="125" t="s">
        <v>81</v>
      </c>
      <c r="G204" s="125">
        <v>8</v>
      </c>
      <c r="H204" s="205">
        <v>387.58878504672765</v>
      </c>
    </row>
    <row r="205" spans="2:8" x14ac:dyDescent="0.3">
      <c r="B205" s="369"/>
      <c r="D205" s="78" t="s">
        <v>113</v>
      </c>
      <c r="E205" s="83">
        <v>27000</v>
      </c>
      <c r="F205" s="125" t="s">
        <v>83</v>
      </c>
      <c r="G205" s="125">
        <v>8</v>
      </c>
      <c r="H205" s="205">
        <v>427.5463917525758</v>
      </c>
    </row>
    <row r="206" spans="2:8" x14ac:dyDescent="0.3">
      <c r="B206" s="369"/>
      <c r="D206" s="78" t="s">
        <v>113</v>
      </c>
      <c r="E206" s="83">
        <v>27000</v>
      </c>
      <c r="F206" s="125" t="s">
        <v>85</v>
      </c>
      <c r="G206" s="125">
        <v>8</v>
      </c>
      <c r="H206" s="205">
        <v>476.68965517241213</v>
      </c>
    </row>
    <row r="207" spans="2:8" x14ac:dyDescent="0.3">
      <c r="B207" s="369"/>
      <c r="D207" s="78" t="s">
        <v>113</v>
      </c>
      <c r="E207" s="83">
        <v>27000</v>
      </c>
      <c r="F207" s="125" t="s">
        <v>87</v>
      </c>
      <c r="G207" s="125">
        <v>8</v>
      </c>
      <c r="H207" s="205">
        <v>538.59740259740067</v>
      </c>
    </row>
    <row r="208" spans="2:8" x14ac:dyDescent="0.3">
      <c r="B208" s="369"/>
      <c r="D208" s="78" t="s">
        <v>113</v>
      </c>
      <c r="E208" s="83">
        <v>27000</v>
      </c>
      <c r="F208" s="125" t="s">
        <v>89</v>
      </c>
      <c r="G208" s="125">
        <v>8</v>
      </c>
      <c r="H208" s="205">
        <v>618.98507462686348</v>
      </c>
    </row>
    <row r="209" spans="2:20" ht="15" thickBot="1" x14ac:dyDescent="0.35">
      <c r="B209" s="369"/>
      <c r="D209" s="80" t="s">
        <v>113</v>
      </c>
      <c r="E209" s="89">
        <v>27000</v>
      </c>
      <c r="F209" s="62" t="s">
        <v>91</v>
      </c>
      <c r="G209" s="62">
        <v>8</v>
      </c>
      <c r="H209" s="208">
        <v>668.9032258064492</v>
      </c>
    </row>
    <row r="210" spans="2:20" x14ac:dyDescent="0.3">
      <c r="B210" s="369" t="s">
        <v>142</v>
      </c>
      <c r="D210" s="76" t="s">
        <v>113</v>
      </c>
      <c r="E210" s="82">
        <v>36000</v>
      </c>
      <c r="F210" s="49" t="s">
        <v>79</v>
      </c>
      <c r="G210" s="49">
        <v>8</v>
      </c>
      <c r="H210" s="210">
        <v>476.68965517241213</v>
      </c>
    </row>
    <row r="211" spans="2:20" x14ac:dyDescent="0.3">
      <c r="B211" s="369"/>
      <c r="D211" s="78" t="s">
        <v>113</v>
      </c>
      <c r="E211" s="83">
        <v>36000</v>
      </c>
      <c r="F211" s="125" t="s">
        <v>81</v>
      </c>
      <c r="G211" s="125">
        <v>8</v>
      </c>
      <c r="H211" s="205">
        <v>516.7850467289702</v>
      </c>
    </row>
    <row r="212" spans="2:20" x14ac:dyDescent="0.3">
      <c r="B212" s="369"/>
      <c r="D212" s="78" t="s">
        <v>113</v>
      </c>
      <c r="E212" s="83">
        <v>36000</v>
      </c>
      <c r="F212" s="125" t="s">
        <v>83</v>
      </c>
      <c r="G212" s="125">
        <v>8</v>
      </c>
      <c r="H212" s="205">
        <v>570.06185567010118</v>
      </c>
    </row>
    <row r="213" spans="2:20" x14ac:dyDescent="0.3">
      <c r="B213" s="369"/>
      <c r="D213" s="78" t="s">
        <v>113</v>
      </c>
      <c r="E213" s="83">
        <v>36000</v>
      </c>
      <c r="F213" s="125" t="s">
        <v>85</v>
      </c>
      <c r="G213" s="125">
        <v>8</v>
      </c>
      <c r="H213" s="205">
        <v>635.58620689654958</v>
      </c>
    </row>
    <row r="214" spans="2:20" x14ac:dyDescent="0.3">
      <c r="B214" s="369"/>
      <c r="D214" s="78" t="s">
        <v>113</v>
      </c>
      <c r="E214" s="83">
        <v>36000</v>
      </c>
      <c r="F214" s="125" t="s">
        <v>87</v>
      </c>
      <c r="G214" s="125">
        <v>8</v>
      </c>
      <c r="H214" s="205">
        <v>718.12987012986764</v>
      </c>
    </row>
    <row r="215" spans="2:20" x14ac:dyDescent="0.3">
      <c r="B215" s="369"/>
      <c r="D215" s="78" t="s">
        <v>113</v>
      </c>
      <c r="E215" s="83">
        <v>36000</v>
      </c>
      <c r="F215" s="125" t="s">
        <v>89</v>
      </c>
      <c r="G215" s="125">
        <v>8</v>
      </c>
      <c r="H215" s="205">
        <v>825.31343283581793</v>
      </c>
    </row>
    <row r="216" spans="2:20" ht="15" thickBot="1" x14ac:dyDescent="0.35">
      <c r="B216" s="369"/>
      <c r="D216" s="84" t="s">
        <v>113</v>
      </c>
      <c r="E216" s="85">
        <v>36000</v>
      </c>
      <c r="F216" s="72" t="s">
        <v>91</v>
      </c>
      <c r="G216" s="72">
        <v>8</v>
      </c>
      <c r="H216" s="212">
        <v>891.8709677419323</v>
      </c>
    </row>
    <row r="217" spans="2:20" ht="15" customHeight="1" x14ac:dyDescent="0.3">
      <c r="D217" s="344" t="s">
        <v>269</v>
      </c>
      <c r="E217" s="344"/>
      <c r="F217" s="344"/>
      <c r="G217" s="344"/>
      <c r="H217" s="344"/>
    </row>
    <row r="218" spans="2:20" x14ac:dyDescent="0.3">
      <c r="D218" s="345"/>
      <c r="E218" s="345"/>
      <c r="F218" s="345"/>
      <c r="G218" s="345"/>
      <c r="H218" s="345"/>
    </row>
    <row r="220" spans="2:20" s="201" customFormat="1" ht="15" thickBot="1" x14ac:dyDescent="0.35">
      <c r="D220" s="202" t="s">
        <v>32</v>
      </c>
    </row>
    <row r="221" spans="2:20" ht="29.4" thickBot="1" x14ac:dyDescent="0.35">
      <c r="D221" s="47" t="s">
        <v>11</v>
      </c>
      <c r="E221" s="44" t="s">
        <v>115</v>
      </c>
      <c r="F221" s="44" t="s">
        <v>116</v>
      </c>
      <c r="G221" s="44" t="s">
        <v>117</v>
      </c>
      <c r="H221" s="44" t="s">
        <v>112</v>
      </c>
      <c r="I221" s="45" t="s">
        <v>76</v>
      </c>
      <c r="K221" s="352" t="s">
        <v>118</v>
      </c>
      <c r="L221" s="353"/>
      <c r="M221" s="353"/>
      <c r="N221" s="353"/>
      <c r="O221" s="354"/>
      <c r="R221" s="350"/>
      <c r="S221" s="351"/>
      <c r="T221" s="111" t="s">
        <v>124</v>
      </c>
    </row>
    <row r="222" spans="2:20" x14ac:dyDescent="0.3">
      <c r="D222" s="76" t="s">
        <v>79</v>
      </c>
      <c r="E222" s="49">
        <v>1</v>
      </c>
      <c r="F222" s="49">
        <v>0.746</v>
      </c>
      <c r="G222" s="96">
        <v>0.85499999999999998</v>
      </c>
      <c r="H222" s="97">
        <v>8</v>
      </c>
      <c r="I222" s="237">
        <v>2547.7426900584796</v>
      </c>
      <c r="K222" s="51" t="s">
        <v>119</v>
      </c>
      <c r="L222" s="52" t="s">
        <v>120</v>
      </c>
      <c r="M222" s="52" t="s">
        <v>121</v>
      </c>
      <c r="N222" s="52" t="s">
        <v>122</v>
      </c>
      <c r="O222" s="106" t="s">
        <v>123</v>
      </c>
      <c r="P222" s="106" t="s">
        <v>319</v>
      </c>
      <c r="R222" s="366" t="s">
        <v>125</v>
      </c>
      <c r="S222" s="367"/>
      <c r="T222" s="112">
        <f>I222*$K$223+I225*$L$223+I228*$M$223+I231*$N$223+I234*$O$223</f>
        <v>7997.2788862459374</v>
      </c>
    </row>
    <row r="223" spans="2:20" ht="15" thickBot="1" x14ac:dyDescent="0.35">
      <c r="D223" s="78" t="s">
        <v>81</v>
      </c>
      <c r="E223" s="192">
        <v>1</v>
      </c>
      <c r="F223" s="192">
        <v>0.746</v>
      </c>
      <c r="G223" s="98">
        <v>0.82499999999999996</v>
      </c>
      <c r="H223" s="99">
        <v>8</v>
      </c>
      <c r="I223" s="238">
        <v>2640.3878787878789</v>
      </c>
      <c r="K223" s="107">
        <v>0.33</v>
      </c>
      <c r="L223" s="108">
        <v>0.35</v>
      </c>
      <c r="M223" s="108">
        <v>0.25</v>
      </c>
      <c r="N223" s="109">
        <v>0.05</v>
      </c>
      <c r="O223" s="110">
        <v>0.02</v>
      </c>
      <c r="R223" s="366" t="s">
        <v>126</v>
      </c>
      <c r="S223" s="367"/>
      <c r="T223" s="112">
        <f>I223*$K$223+I226*$L$223+I229*$M$223+I232*$N$223+I235*$O$223</f>
        <v>8194.1635171830039</v>
      </c>
    </row>
    <row r="224" spans="2:20" ht="15" thickBot="1" x14ac:dyDescent="0.35">
      <c r="D224" s="80" t="s">
        <v>83</v>
      </c>
      <c r="E224" s="62">
        <v>1</v>
      </c>
      <c r="F224" s="62">
        <v>0.746</v>
      </c>
      <c r="G224" s="100">
        <v>0.78</v>
      </c>
      <c r="H224" s="101">
        <v>8</v>
      </c>
      <c r="I224" s="239">
        <v>2792.7179487179487</v>
      </c>
      <c r="R224" s="366" t="s">
        <v>127</v>
      </c>
      <c r="S224" s="367"/>
      <c r="T224" s="112">
        <f>I224*$K$223+I227*$L$223+I230*$M$223+I233*$N$223+I236*$O$223</f>
        <v>8444.2043794558067</v>
      </c>
    </row>
    <row r="225" spans="4:11" x14ac:dyDescent="0.3">
      <c r="D225" s="76" t="s">
        <v>79</v>
      </c>
      <c r="E225" s="49">
        <v>2</v>
      </c>
      <c r="F225" s="49">
        <v>1.492</v>
      </c>
      <c r="G225" s="96">
        <v>0.86499999999999999</v>
      </c>
      <c r="H225" s="97">
        <v>8</v>
      </c>
      <c r="I225" s="237">
        <v>5036.5780346820811</v>
      </c>
    </row>
    <row r="226" spans="4:11" x14ac:dyDescent="0.3">
      <c r="D226" s="78" t="s">
        <v>81</v>
      </c>
      <c r="E226" s="192">
        <v>2</v>
      </c>
      <c r="F226" s="192">
        <v>1.492</v>
      </c>
      <c r="G226" s="98">
        <v>0.84</v>
      </c>
      <c r="H226" s="99">
        <v>8</v>
      </c>
      <c r="I226" s="238">
        <v>5186.4761904761908</v>
      </c>
    </row>
    <row r="227" spans="4:11" ht="15" thickBot="1" x14ac:dyDescent="0.35">
      <c r="D227" s="84" t="s">
        <v>83</v>
      </c>
      <c r="E227" s="72">
        <v>2</v>
      </c>
      <c r="F227" s="72">
        <v>1.492</v>
      </c>
      <c r="G227" s="102">
        <v>0.81499999999999995</v>
      </c>
      <c r="H227" s="103">
        <v>8</v>
      </c>
      <c r="I227" s="240">
        <v>5345.5705521472391</v>
      </c>
    </row>
    <row r="228" spans="4:11" x14ac:dyDescent="0.3">
      <c r="D228" s="86" t="s">
        <v>79</v>
      </c>
      <c r="E228" s="88">
        <v>5</v>
      </c>
      <c r="F228" s="88">
        <v>3.73</v>
      </c>
      <c r="G228" s="104">
        <v>0.89500000000000002</v>
      </c>
      <c r="H228" s="105">
        <v>8</v>
      </c>
      <c r="I228" s="241">
        <v>12169.385474860333</v>
      </c>
    </row>
    <row r="229" spans="4:11" x14ac:dyDescent="0.3">
      <c r="D229" s="78" t="s">
        <v>81</v>
      </c>
      <c r="E229" s="192">
        <v>5</v>
      </c>
      <c r="F229" s="192">
        <v>3.73</v>
      </c>
      <c r="G229" s="98">
        <v>0.875</v>
      </c>
      <c r="H229" s="99">
        <v>8</v>
      </c>
      <c r="I229" s="238">
        <v>12447.542857142857</v>
      </c>
    </row>
    <row r="230" spans="4:11" ht="15" thickBot="1" x14ac:dyDescent="0.35">
      <c r="D230" s="80" t="s">
        <v>83</v>
      </c>
      <c r="E230" s="62">
        <v>5</v>
      </c>
      <c r="F230" s="62">
        <v>3.73</v>
      </c>
      <c r="G230" s="100">
        <v>0.85</v>
      </c>
      <c r="H230" s="101">
        <v>8</v>
      </c>
      <c r="I230" s="239">
        <v>12813.64705882353</v>
      </c>
      <c r="K230" s="381"/>
    </row>
    <row r="231" spans="4:11" x14ac:dyDescent="0.3">
      <c r="D231" s="76" t="s">
        <v>79</v>
      </c>
      <c r="E231" s="49">
        <v>10</v>
      </c>
      <c r="F231" s="49">
        <v>7.46</v>
      </c>
      <c r="G231" s="96">
        <v>0.91700000000000004</v>
      </c>
      <c r="H231" s="97">
        <v>8</v>
      </c>
      <c r="I231" s="237">
        <v>23754.852780806981</v>
      </c>
      <c r="K231" s="382"/>
    </row>
    <row r="232" spans="4:11" x14ac:dyDescent="0.3">
      <c r="D232" s="78" t="s">
        <v>81</v>
      </c>
      <c r="E232" s="192">
        <v>10</v>
      </c>
      <c r="F232" s="192">
        <v>7.46</v>
      </c>
      <c r="G232" s="98">
        <v>0.89500000000000002</v>
      </c>
      <c r="H232" s="99">
        <v>8</v>
      </c>
      <c r="I232" s="238">
        <v>24338.770949720667</v>
      </c>
      <c r="K232" s="382"/>
    </row>
    <row r="233" spans="4:11" ht="15" thickBot="1" x14ac:dyDescent="0.35">
      <c r="D233" s="84" t="s">
        <v>83</v>
      </c>
      <c r="E233" s="72">
        <v>10</v>
      </c>
      <c r="F233" s="72">
        <v>7.46</v>
      </c>
      <c r="G233" s="102">
        <v>0.875</v>
      </c>
      <c r="H233" s="103">
        <v>8</v>
      </c>
      <c r="I233" s="240">
        <v>24895.085714285713</v>
      </c>
    </row>
    <row r="234" spans="4:11" x14ac:dyDescent="0.3">
      <c r="D234" s="86" t="s">
        <v>79</v>
      </c>
      <c r="E234" s="88">
        <v>25</v>
      </c>
      <c r="F234" s="88">
        <v>18.649999999999999</v>
      </c>
      <c r="G234" s="104">
        <v>0.93600000000000005</v>
      </c>
      <c r="H234" s="105">
        <v>8</v>
      </c>
      <c r="I234" s="241">
        <v>58181.623931623923</v>
      </c>
    </row>
    <row r="235" spans="4:11" x14ac:dyDescent="0.3">
      <c r="D235" s="78" t="s">
        <v>81</v>
      </c>
      <c r="E235" s="192">
        <v>25</v>
      </c>
      <c r="F235" s="192">
        <v>18.649999999999999</v>
      </c>
      <c r="G235" s="98">
        <v>0.92400000000000004</v>
      </c>
      <c r="H235" s="99">
        <v>8</v>
      </c>
      <c r="I235" s="238">
        <v>58937.229437229427</v>
      </c>
    </row>
    <row r="236" spans="4:11" ht="15" thickBot="1" x14ac:dyDescent="0.35">
      <c r="D236" s="84" t="s">
        <v>83</v>
      </c>
      <c r="E236" s="72">
        <v>25</v>
      </c>
      <c r="F236" s="72">
        <v>18.649999999999999</v>
      </c>
      <c r="G236" s="102">
        <v>0.90500000000000003</v>
      </c>
      <c r="H236" s="103">
        <v>8</v>
      </c>
      <c r="I236" s="240">
        <v>60174.585635359108</v>
      </c>
    </row>
    <row r="237" spans="4:11" x14ac:dyDescent="0.3">
      <c r="D237" s="76" t="s">
        <v>79</v>
      </c>
      <c r="E237" s="49">
        <v>50</v>
      </c>
      <c r="F237" s="49">
        <f>E237*0.746</f>
        <v>37.299999999999997</v>
      </c>
      <c r="G237" s="199">
        <f>G234</f>
        <v>0.93600000000000005</v>
      </c>
      <c r="H237" s="97">
        <v>8</v>
      </c>
      <c r="I237" s="242">
        <f>F237*I234/F234</f>
        <v>116363.24786324785</v>
      </c>
    </row>
    <row r="238" spans="4:11" x14ac:dyDescent="0.3">
      <c r="D238" s="78" t="s">
        <v>81</v>
      </c>
      <c r="E238" s="192">
        <v>50</v>
      </c>
      <c r="F238" s="192">
        <f>+F237</f>
        <v>37.299999999999997</v>
      </c>
      <c r="G238" s="198">
        <f t="shared" ref="G238:G239" si="52">G235</f>
        <v>0.92400000000000004</v>
      </c>
      <c r="H238" s="99">
        <v>8</v>
      </c>
      <c r="I238" s="243">
        <f t="shared" ref="I238:I239" si="53">F238*I235/F235</f>
        <v>117874.45887445885</v>
      </c>
    </row>
    <row r="239" spans="4:11" ht="15" thickBot="1" x14ac:dyDescent="0.35">
      <c r="D239" s="84" t="s">
        <v>83</v>
      </c>
      <c r="E239" s="72">
        <v>50</v>
      </c>
      <c r="F239" s="72">
        <f>+F238</f>
        <v>37.299999999999997</v>
      </c>
      <c r="G239" s="200">
        <f t="shared" si="52"/>
        <v>0.90500000000000003</v>
      </c>
      <c r="H239" s="103">
        <v>8</v>
      </c>
      <c r="I239" s="244">
        <f t="shared" si="53"/>
        <v>120349.1712707182</v>
      </c>
    </row>
    <row r="240" spans="4:11" ht="15" customHeight="1" x14ac:dyDescent="0.3">
      <c r="D240" s="344" t="s">
        <v>269</v>
      </c>
      <c r="E240" s="344"/>
      <c r="F240" s="344"/>
      <c r="G240" s="344"/>
      <c r="H240" s="344"/>
      <c r="I240" s="344"/>
    </row>
    <row r="241" spans="4:9" x14ac:dyDescent="0.3">
      <c r="D241" s="345"/>
      <c r="E241" s="345"/>
      <c r="F241" s="345"/>
      <c r="G241" s="345"/>
      <c r="H241" s="345"/>
      <c r="I241" s="345"/>
    </row>
    <row r="297" spans="19:22" ht="15" thickBot="1" x14ac:dyDescent="0.35"/>
    <row r="298" spans="19:22" ht="30.75" customHeight="1" thickBot="1" x14ac:dyDescent="0.35">
      <c r="S298"/>
      <c r="T298" s="47">
        <v>8</v>
      </c>
      <c r="U298" s="44">
        <v>9</v>
      </c>
      <c r="V298" s="45" t="s">
        <v>77</v>
      </c>
    </row>
    <row r="299" spans="19:22" x14ac:dyDescent="0.3">
      <c r="S299" s="53" t="s">
        <v>80</v>
      </c>
      <c r="T299" s="137" t="e">
        <f>#REF!*G46+#REF!*G53+#REF!*G60+#REF!*G67+#REF!*G74</f>
        <v>#REF!</v>
      </c>
      <c r="U299" s="137" t="e">
        <f>#REF!*K46+#REF!*K53+#REF!*K60+#REF!*K67+#REF!*K74</f>
        <v>#REF!</v>
      </c>
      <c r="V299" s="54" t="e">
        <f t="shared" ref="V299:V305" si="54">T299*0.5+U299*0.5</f>
        <v>#REF!</v>
      </c>
    </row>
    <row r="300" spans="19:22" x14ac:dyDescent="0.3">
      <c r="S300" s="59" t="s">
        <v>82</v>
      </c>
      <c r="T300" s="138" t="e">
        <f>#REF!*G47+#REF!*G54+#REF!*G61+#REF!*G68+#REF!*G75</f>
        <v>#REF!</v>
      </c>
      <c r="U300" s="138" t="e">
        <f>#REF!*K47+#REF!*K54+#REF!*K61+#REF!*K68+#REF!*K75</f>
        <v>#REF!</v>
      </c>
      <c r="V300" s="60" t="e">
        <f t="shared" si="54"/>
        <v>#REF!</v>
      </c>
    </row>
    <row r="301" spans="19:22" x14ac:dyDescent="0.3">
      <c r="S301" s="59" t="s">
        <v>84</v>
      </c>
      <c r="T301" s="138" t="e">
        <f>#REF!*G48+#REF!*G55+#REF!*G62+#REF!*G69+#REF!*G76</f>
        <v>#REF!</v>
      </c>
      <c r="U301" s="138" t="e">
        <f>#REF!*K48+#REF!*K55+#REF!*K62+#REF!*K69+#REF!*K76</f>
        <v>#REF!</v>
      </c>
      <c r="V301" s="60" t="e">
        <f t="shared" si="54"/>
        <v>#REF!</v>
      </c>
    </row>
    <row r="302" spans="19:22" x14ac:dyDescent="0.3">
      <c r="S302" s="59" t="s">
        <v>86</v>
      </c>
      <c r="T302" s="138" t="e">
        <f>#REF!*G49+#REF!*G56+#REF!*G63+#REF!*G70+#REF!*G77</f>
        <v>#REF!</v>
      </c>
      <c r="U302" s="138" t="e">
        <f>#REF!*K49+#REF!*K56+#REF!*K63+#REF!*K70+#REF!*K77</f>
        <v>#REF!</v>
      </c>
      <c r="V302" s="60" t="e">
        <f t="shared" si="54"/>
        <v>#REF!</v>
      </c>
    </row>
    <row r="303" spans="19:22" x14ac:dyDescent="0.3">
      <c r="S303" s="59" t="s">
        <v>88</v>
      </c>
      <c r="T303" s="138" t="e">
        <f>#REF!*G50+#REF!*G57+#REF!*G64+#REF!*G71+#REF!*G78</f>
        <v>#REF!</v>
      </c>
      <c r="U303" s="138" t="e">
        <f>#REF!*K50+#REF!*K57+#REF!*K64+#REF!*K71+#REF!*K78</f>
        <v>#REF!</v>
      </c>
      <c r="V303" s="60" t="e">
        <f t="shared" si="54"/>
        <v>#REF!</v>
      </c>
    </row>
    <row r="304" spans="19:22" x14ac:dyDescent="0.3">
      <c r="S304" s="59" t="s">
        <v>90</v>
      </c>
      <c r="T304" s="138" t="e">
        <f>#REF!*G51+#REF!*G58+#REF!*G65+#REF!*G72+#REF!*G79</f>
        <v>#REF!</v>
      </c>
      <c r="U304" s="138" t="e">
        <f>#REF!*K51+#REF!*K58+#REF!*K65+#REF!*K72+#REF!*K79</f>
        <v>#REF!</v>
      </c>
      <c r="V304" s="60" t="e">
        <f t="shared" si="54"/>
        <v>#REF!</v>
      </c>
    </row>
    <row r="305" spans="19:22" ht="15" thickBot="1" x14ac:dyDescent="0.35">
      <c r="S305" s="63" t="s">
        <v>92</v>
      </c>
      <c r="T305" s="139" t="e">
        <f>#REF!*G52+#REF!*G59+#REF!*G66+#REF!*G73+#REF!*G80</f>
        <v>#REF!</v>
      </c>
      <c r="U305" s="139" t="e">
        <f>#REF!*K52+#REF!*K59+#REF!*K66+#REF!*K73+#REF!*K80</f>
        <v>#REF!</v>
      </c>
      <c r="V305" s="64" t="e">
        <f t="shared" si="54"/>
        <v>#REF!</v>
      </c>
    </row>
  </sheetData>
  <mergeCells count="43">
    <mergeCell ref="B182:B188"/>
    <mergeCell ref="B189:B195"/>
    <mergeCell ref="B196:B202"/>
    <mergeCell ref="B203:B209"/>
    <mergeCell ref="B210:B216"/>
    <mergeCell ref="AN41:AR42"/>
    <mergeCell ref="AN40:AR40"/>
    <mergeCell ref="P41:S42"/>
    <mergeCell ref="V40:Z40"/>
    <mergeCell ref="V41:Z42"/>
    <mergeCell ref="AB41:AE42"/>
    <mergeCell ref="AH40:AK40"/>
    <mergeCell ref="AH41:AK42"/>
    <mergeCell ref="R222:S222"/>
    <mergeCell ref="R223:S223"/>
    <mergeCell ref="R224:S224"/>
    <mergeCell ref="R221:S221"/>
    <mergeCell ref="K221:O221"/>
    <mergeCell ref="L101:O103"/>
    <mergeCell ref="E3:N3"/>
    <mergeCell ref="D40:G40"/>
    <mergeCell ref="D41:G42"/>
    <mergeCell ref="H94:J96"/>
    <mergeCell ref="M81:P81"/>
    <mergeCell ref="M82:P83"/>
    <mergeCell ref="J40:M40"/>
    <mergeCell ref="J41:M42"/>
    <mergeCell ref="D240:I241"/>
    <mergeCell ref="D217:H218"/>
    <mergeCell ref="D81:K82"/>
    <mergeCell ref="J192:K192"/>
    <mergeCell ref="D176:F178"/>
    <mergeCell ref="D149:F151"/>
    <mergeCell ref="D108:F110"/>
    <mergeCell ref="J191:K191"/>
    <mergeCell ref="J185:K185"/>
    <mergeCell ref="J186:K186"/>
    <mergeCell ref="J187:K187"/>
    <mergeCell ref="J188:K188"/>
    <mergeCell ref="J189:K189"/>
    <mergeCell ref="J190:K190"/>
    <mergeCell ref="H113:L113"/>
    <mergeCell ref="H154:J154"/>
  </mergeCells>
  <phoneticPr fontId="50" type="noConversion"/>
  <pageMargins left="0.7" right="0.7" top="0.75" bottom="0.75" header="0.3" footer="0.3"/>
  <pageSetup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R40"/>
  <sheetViews>
    <sheetView topLeftCell="A5" workbookViewId="0">
      <selection activeCell="A7" sqref="A7:XFD7"/>
    </sheetView>
  </sheetViews>
  <sheetFormatPr baseColWidth="10" defaultColWidth="11.44140625" defaultRowHeight="14.4" x14ac:dyDescent="0.3"/>
  <cols>
    <col min="1" max="1" width="1.88671875" style="1" customWidth="1"/>
    <col min="2" max="2" width="16.109375" style="1" customWidth="1"/>
    <col min="3" max="3" width="9.6640625" style="1" customWidth="1"/>
    <col min="4" max="4" width="10.33203125" style="1" customWidth="1"/>
    <col min="5" max="5" width="11.44140625" style="1"/>
    <col min="6" max="6" width="16.33203125" style="1" customWidth="1"/>
    <col min="7" max="8" width="10.6640625" style="1" customWidth="1"/>
    <col min="9" max="9" width="10.33203125" style="1" customWidth="1"/>
    <col min="10" max="10" width="11.44140625" style="1"/>
    <col min="11" max="11" width="9" style="1" customWidth="1"/>
    <col min="12" max="12" width="11.44140625" style="1"/>
    <col min="13" max="13" width="7.44140625" style="1" customWidth="1"/>
    <col min="14" max="14" width="8" style="1" customWidth="1"/>
    <col min="15" max="17" width="14.6640625" style="1" customWidth="1"/>
    <col min="18" max="18" width="11.5546875" style="1" customWidth="1"/>
    <col min="19" max="16384" width="11.44140625" style="1"/>
  </cols>
  <sheetData>
    <row r="2" spans="2:18" ht="15.6" x14ac:dyDescent="0.35">
      <c r="B2" s="122" t="s">
        <v>171</v>
      </c>
      <c r="O2" s="42" t="s">
        <v>181</v>
      </c>
    </row>
    <row r="3" spans="2:18" x14ac:dyDescent="0.3">
      <c r="B3" s="153" t="s">
        <v>70</v>
      </c>
      <c r="C3" s="153" t="s">
        <v>172</v>
      </c>
      <c r="D3" s="153" t="s">
        <v>28</v>
      </c>
      <c r="O3" s="153" t="s">
        <v>70</v>
      </c>
      <c r="P3" s="153" t="s">
        <v>182</v>
      </c>
      <c r="Q3" s="153" t="s">
        <v>183</v>
      </c>
      <c r="R3" s="153" t="s">
        <v>28</v>
      </c>
    </row>
    <row r="4" spans="2:18" x14ac:dyDescent="0.3">
      <c r="B4" s="150">
        <v>2010</v>
      </c>
      <c r="C4" s="249">
        <v>0.104</v>
      </c>
      <c r="D4" s="179" t="s">
        <v>173</v>
      </c>
      <c r="O4" s="150">
        <v>2010</v>
      </c>
      <c r="P4" s="248"/>
      <c r="Q4" s="251">
        <f>[4]Hoja1!$N$5</f>
        <v>0.59799999999999998</v>
      </c>
    </row>
    <row r="5" spans="2:18" x14ac:dyDescent="0.3">
      <c r="B5" s="150">
        <v>2011</v>
      </c>
      <c r="C5" s="249">
        <v>0.108</v>
      </c>
      <c r="D5" s="179" t="s">
        <v>174</v>
      </c>
      <c r="O5" s="150">
        <v>2011</v>
      </c>
      <c r="P5" s="248"/>
      <c r="Q5" s="251">
        <f>[4]Hoja1!$N$11</f>
        <v>0.61926999999999999</v>
      </c>
    </row>
    <row r="6" spans="2:18" x14ac:dyDescent="0.3">
      <c r="B6" s="150">
        <v>2012</v>
      </c>
      <c r="C6" s="249">
        <v>0.109</v>
      </c>
      <c r="D6" s="179" t="s">
        <v>175</v>
      </c>
      <c r="O6" s="150">
        <v>2012</v>
      </c>
      <c r="P6" s="248"/>
      <c r="Q6" s="251">
        <f>[4]Hoja1!$N$23</f>
        <v>0.62709999999999999</v>
      </c>
    </row>
    <row r="7" spans="2:18" x14ac:dyDescent="0.3">
      <c r="B7" s="150">
        <v>2013</v>
      </c>
      <c r="C7" s="249">
        <v>0.109</v>
      </c>
      <c r="D7" s="179" t="s">
        <v>176</v>
      </c>
      <c r="O7" s="150">
        <v>2013</v>
      </c>
      <c r="P7" s="248"/>
      <c r="Q7" s="300">
        <f>Q6</f>
        <v>0.62709999999999999</v>
      </c>
    </row>
    <row r="8" spans="2:18" x14ac:dyDescent="0.3">
      <c r="B8" s="150">
        <v>2014</v>
      </c>
      <c r="C8" s="250">
        <f>AVERAGE(C7,C9)</f>
        <v>0.111</v>
      </c>
      <c r="D8" s="179" t="s">
        <v>177</v>
      </c>
      <c r="O8" s="150">
        <v>2014</v>
      </c>
      <c r="P8" s="248"/>
      <c r="Q8" s="300">
        <f>Q7</f>
        <v>0.62709999999999999</v>
      </c>
    </row>
    <row r="9" spans="2:18" x14ac:dyDescent="0.3">
      <c r="B9" s="150">
        <v>2015</v>
      </c>
      <c r="C9" s="249">
        <v>0.113</v>
      </c>
      <c r="D9" s="179" t="s">
        <v>178</v>
      </c>
      <c r="O9" s="150">
        <v>2015</v>
      </c>
      <c r="P9" s="248"/>
      <c r="Q9" s="300">
        <f>Q8</f>
        <v>0.62709999999999999</v>
      </c>
    </row>
    <row r="10" spans="2:18" x14ac:dyDescent="0.3">
      <c r="B10" s="150">
        <v>2016</v>
      </c>
      <c r="C10" s="249">
        <v>0.109</v>
      </c>
      <c r="D10" s="179" t="s">
        <v>179</v>
      </c>
      <c r="O10" s="150">
        <v>2016</v>
      </c>
      <c r="P10" s="248">
        <v>0.43230000000000002</v>
      </c>
      <c r="Q10" s="251">
        <v>0.41189999999999999</v>
      </c>
      <c r="R10" s="180" t="s">
        <v>184</v>
      </c>
    </row>
    <row r="11" spans="2:18" x14ac:dyDescent="0.3">
      <c r="B11" s="150">
        <v>2017</v>
      </c>
      <c r="C11" s="249">
        <v>0.108</v>
      </c>
      <c r="D11" s="179" t="s">
        <v>180</v>
      </c>
      <c r="O11" s="150">
        <v>2017</v>
      </c>
      <c r="P11" s="248">
        <v>0.43230000000000002</v>
      </c>
      <c r="Q11" s="251">
        <v>0.41189999999999999</v>
      </c>
    </row>
    <row r="12" spans="2:18" x14ac:dyDescent="0.3">
      <c r="B12" s="150">
        <v>2018</v>
      </c>
      <c r="C12" s="250">
        <f>C11</f>
        <v>0.108</v>
      </c>
      <c r="D12" s="154"/>
      <c r="O12" s="150">
        <v>2018</v>
      </c>
      <c r="P12" s="248">
        <v>0.43230000000000002</v>
      </c>
      <c r="Q12" s="251">
        <v>0.41189999999999999</v>
      </c>
    </row>
    <row r="13" spans="2:18" x14ac:dyDescent="0.3">
      <c r="B13" s="150">
        <v>2019</v>
      </c>
      <c r="C13" s="249"/>
      <c r="D13" s="154"/>
      <c r="O13" s="150">
        <v>2019</v>
      </c>
      <c r="P13" s="248"/>
      <c r="Q13" s="248"/>
    </row>
    <row r="14" spans="2:18" x14ac:dyDescent="0.3">
      <c r="B14" s="150">
        <v>2020</v>
      </c>
      <c r="C14" s="249"/>
      <c r="D14" s="154"/>
      <c r="O14" s="150">
        <v>2020</v>
      </c>
      <c r="P14" s="248"/>
      <c r="Q14" s="248"/>
    </row>
    <row r="15" spans="2:18" x14ac:dyDescent="0.3">
      <c r="B15" s="150">
        <v>2021</v>
      </c>
      <c r="C15" s="249"/>
      <c r="D15" s="154"/>
      <c r="O15" s="150">
        <v>2021</v>
      </c>
      <c r="P15" s="248"/>
      <c r="Q15" s="248"/>
    </row>
    <row r="16" spans="2:18" x14ac:dyDescent="0.3">
      <c r="B16" s="150">
        <v>2022</v>
      </c>
      <c r="C16" s="249"/>
      <c r="D16" s="154"/>
      <c r="O16" s="150">
        <v>2022</v>
      </c>
      <c r="P16" s="248"/>
      <c r="Q16" s="248"/>
    </row>
    <row r="17" spans="2:17" x14ac:dyDescent="0.3">
      <c r="B17" s="150">
        <v>2023</v>
      </c>
      <c r="C17" s="249"/>
      <c r="D17" s="154"/>
      <c r="O17" s="150">
        <v>2023</v>
      </c>
      <c r="P17" s="248"/>
      <c r="Q17" s="248"/>
    </row>
    <row r="18" spans="2:17" x14ac:dyDescent="0.3">
      <c r="B18" s="150">
        <v>2024</v>
      </c>
      <c r="C18" s="249"/>
      <c r="D18" s="154"/>
      <c r="O18" s="150">
        <v>2024</v>
      </c>
      <c r="P18" s="248"/>
      <c r="Q18" s="248"/>
    </row>
    <row r="19" spans="2:17" x14ac:dyDescent="0.3">
      <c r="B19" s="150">
        <v>2025</v>
      </c>
      <c r="C19" s="249"/>
      <c r="D19" s="154"/>
      <c r="O19" s="150">
        <v>2025</v>
      </c>
      <c r="P19" s="248"/>
      <c r="Q19" s="248"/>
    </row>
    <row r="20" spans="2:17" x14ac:dyDescent="0.3">
      <c r="B20" s="150">
        <v>2026</v>
      </c>
      <c r="C20" s="249"/>
      <c r="D20" s="154"/>
      <c r="O20" s="150">
        <v>2026</v>
      </c>
      <c r="P20" s="248"/>
      <c r="Q20" s="248"/>
    </row>
    <row r="21" spans="2:17" x14ac:dyDescent="0.3">
      <c r="B21" s="150">
        <v>2027</v>
      </c>
      <c r="C21" s="249"/>
      <c r="D21" s="154"/>
      <c r="O21" s="150">
        <v>2027</v>
      </c>
      <c r="P21" s="248"/>
      <c r="Q21" s="248"/>
    </row>
    <row r="22" spans="2:17" x14ac:dyDescent="0.3">
      <c r="B22" s="150">
        <v>2028</v>
      </c>
      <c r="C22" s="249"/>
      <c r="D22" s="154"/>
      <c r="O22" s="150">
        <v>2028</v>
      </c>
      <c r="P22" s="248"/>
      <c r="Q22" s="248"/>
    </row>
    <row r="23" spans="2:17" x14ac:dyDescent="0.3">
      <c r="B23" s="150">
        <v>2029</v>
      </c>
      <c r="C23" s="249"/>
      <c r="D23" s="154"/>
      <c r="O23" s="150">
        <v>2029</v>
      </c>
      <c r="P23" s="248"/>
      <c r="Q23" s="248"/>
    </row>
    <row r="24" spans="2:17" x14ac:dyDescent="0.3">
      <c r="B24" s="150">
        <v>2030</v>
      </c>
      <c r="C24" s="249"/>
      <c r="D24" s="154"/>
      <c r="O24" s="150">
        <v>2030</v>
      </c>
      <c r="P24" s="248"/>
      <c r="Q24" s="248"/>
    </row>
    <row r="25" spans="2:17" x14ac:dyDescent="0.3">
      <c r="O25" s="370" t="s">
        <v>270</v>
      </c>
      <c r="P25" s="370"/>
      <c r="Q25" s="370"/>
    </row>
    <row r="26" spans="2:17" x14ac:dyDescent="0.3">
      <c r="B26" s="42" t="s">
        <v>238</v>
      </c>
      <c r="F26" s="42" t="s">
        <v>239</v>
      </c>
      <c r="O26" s="371"/>
      <c r="P26" s="371"/>
      <c r="Q26" s="371"/>
    </row>
    <row r="27" spans="2:17" ht="15.6" x14ac:dyDescent="0.3">
      <c r="B27" s="38" t="s">
        <v>241</v>
      </c>
      <c r="C27" s="38" t="s">
        <v>242</v>
      </c>
      <c r="D27" s="38" t="s">
        <v>243</v>
      </c>
      <c r="F27" s="38" t="s">
        <v>241</v>
      </c>
      <c r="G27" s="181" t="s">
        <v>244</v>
      </c>
      <c r="H27" s="181" t="s">
        <v>245</v>
      </c>
      <c r="I27" s="181" t="s">
        <v>246</v>
      </c>
      <c r="J27" s="181" t="s">
        <v>247</v>
      </c>
      <c r="O27" s="371"/>
      <c r="P27" s="371"/>
      <c r="Q27" s="371"/>
    </row>
    <row r="28" spans="2:17" x14ac:dyDescent="0.3">
      <c r="B28" s="43" t="s">
        <v>254</v>
      </c>
      <c r="C28" s="252">
        <f>'[5]Fact. con.'!E180</f>
        <v>3.6036968416892283E-5</v>
      </c>
      <c r="D28" s="183" t="str">
        <f>'[5]Fact. con.'!F180</f>
        <v>TJ/m3</v>
      </c>
      <c r="F28" s="43" t="s">
        <v>254</v>
      </c>
      <c r="G28" s="254">
        <f>'[5]FE CE'!$F$39</f>
        <v>56126.26334612057</v>
      </c>
      <c r="H28" s="255">
        <f>'[5]FE CE'!I24</f>
        <v>1</v>
      </c>
      <c r="I28" s="255">
        <f>'[5]FE CE'!L24</f>
        <v>0.1</v>
      </c>
      <c r="J28" s="43"/>
    </row>
    <row r="29" spans="2:17" x14ac:dyDescent="0.3">
      <c r="B29" s="43" t="s">
        <v>256</v>
      </c>
      <c r="C29" s="252">
        <f>'[5]Fact. con.'!E179</f>
        <v>2.6392697222457118E-2</v>
      </c>
      <c r="D29" s="183" t="str">
        <f>'[5]Fact. con.'!F179</f>
        <v>TJ/m3</v>
      </c>
      <c r="F29" s="43" t="s">
        <v>256</v>
      </c>
      <c r="G29" s="254">
        <f>'[5]FE CE'!F16</f>
        <v>63100</v>
      </c>
      <c r="H29" s="255">
        <f>'[5]FE CE'!I16</f>
        <v>1</v>
      </c>
      <c r="I29" s="255">
        <f>'[5]FE CE'!L16</f>
        <v>0.1</v>
      </c>
      <c r="J29" s="43"/>
    </row>
    <row r="30" spans="2:17" x14ac:dyDescent="0.3">
      <c r="B30" s="190" t="s">
        <v>254</v>
      </c>
      <c r="C30" s="253">
        <f>C28/('[5]Fact. con.'!$J$106*1000000)</f>
        <v>4.5755734840339299E-5</v>
      </c>
      <c r="D30" s="191" t="s">
        <v>259</v>
      </c>
      <c r="F30" s="245" t="s">
        <v>272</v>
      </c>
    </row>
    <row r="31" spans="2:17" x14ac:dyDescent="0.3">
      <c r="B31" s="190" t="s">
        <v>256</v>
      </c>
      <c r="C31" s="253">
        <f>C29/('[5]Fact. con.'!$J$98*1000000)</f>
        <v>4.7305190196203054E-5</v>
      </c>
      <c r="D31" s="191" t="s">
        <v>259</v>
      </c>
      <c r="F31" s="245" t="s">
        <v>273</v>
      </c>
    </row>
    <row r="32" spans="2:17" x14ac:dyDescent="0.3">
      <c r="B32" s="245" t="s">
        <v>271</v>
      </c>
    </row>
    <row r="33" spans="2:5" x14ac:dyDescent="0.3">
      <c r="C33" s="186"/>
    </row>
    <row r="34" spans="2:5" x14ac:dyDescent="0.3">
      <c r="B34" s="42" t="s">
        <v>240</v>
      </c>
    </row>
    <row r="35" spans="2:5" x14ac:dyDescent="0.3">
      <c r="B35" s="182" t="s">
        <v>248</v>
      </c>
      <c r="C35" s="182" t="s">
        <v>249</v>
      </c>
      <c r="D35" s="182" t="s">
        <v>250</v>
      </c>
      <c r="E35" s="182" t="s">
        <v>251</v>
      </c>
    </row>
    <row r="36" spans="2:5" ht="15.6" x14ac:dyDescent="0.3">
      <c r="B36" s="184" t="s">
        <v>252</v>
      </c>
      <c r="C36" s="256">
        <v>1</v>
      </c>
      <c r="D36" s="256">
        <v>1</v>
      </c>
      <c r="E36" s="256">
        <v>1</v>
      </c>
    </row>
    <row r="37" spans="2:5" ht="15.6" x14ac:dyDescent="0.3">
      <c r="B37" s="184" t="s">
        <v>253</v>
      </c>
      <c r="C37" s="256">
        <v>21</v>
      </c>
      <c r="D37" s="256">
        <v>25</v>
      </c>
      <c r="E37" s="256">
        <v>30</v>
      </c>
    </row>
    <row r="38" spans="2:5" ht="15.6" x14ac:dyDescent="0.3">
      <c r="B38" s="184" t="s">
        <v>255</v>
      </c>
      <c r="C38" s="256">
        <v>310</v>
      </c>
      <c r="D38" s="256">
        <v>298</v>
      </c>
      <c r="E38" s="256">
        <v>265</v>
      </c>
    </row>
    <row r="39" spans="2:5" x14ac:dyDescent="0.3">
      <c r="B39" s="246" t="s">
        <v>257</v>
      </c>
      <c r="C39" s="185"/>
      <c r="D39" s="185"/>
      <c r="E39" s="185"/>
    </row>
    <row r="40" spans="2:5" x14ac:dyDescent="0.3">
      <c r="B40" s="247" t="s">
        <v>258</v>
      </c>
    </row>
  </sheetData>
  <mergeCells count="1">
    <mergeCell ref="O25:Q27"/>
  </mergeCells>
  <hyperlinks>
    <hyperlink ref="D11" r:id="rId1" display="http://www.minem.gob.pe/minem/archivos/Capitulo 1 Balance e Indicadores 2017.pdf" xr:uid="{00000000-0004-0000-0400-000000000000}"/>
    <hyperlink ref="D10" r:id="rId2" display="http://www.minem.gob.pe/minem/archivos/Capitulo 1  Balance e Indicadores 2016.pdf" xr:uid="{00000000-0004-0000-0400-000001000000}"/>
    <hyperlink ref="D9" r:id="rId3" display="http://www.minem.gob.pe/minem/archivos/Capitulo 1 Indicadores FINAL.pdf" xr:uid="{00000000-0004-0000-0400-000002000000}"/>
    <hyperlink ref="D8" r:id="rId4" display="http://www.minem.gob.pe/minem/archivos/BALANCE E INDICADORES 2014.pdf" xr:uid="{00000000-0004-0000-0400-000003000000}"/>
    <hyperlink ref="D7" r:id="rId5" display="http://www.minem.gob.pe/minem/archivos/Capitulo 1  Balance y Principales Indicadores 2013.pdf" xr:uid="{00000000-0004-0000-0400-000004000000}"/>
    <hyperlink ref="D6" r:id="rId6" display="http://www.minem.gob.pe/minem/archivos/Capitulo 1  Balance y Principales Indicadores 2012.pdf" xr:uid="{00000000-0004-0000-0400-000005000000}"/>
    <hyperlink ref="D5" r:id="rId7" display="http://www.minem.gob.pe/minem/archivos/Cap_1_  Balance y Principales Indicadores 2011.pdf" xr:uid="{00000000-0004-0000-0400-000006000000}"/>
    <hyperlink ref="D4" r:id="rId8" display="http://www.minem.gob.pe/minem/archivos/Cap%C3%83%C2%ADtulo1_- Balance y Principales Indicadores El%C3%83%C2%A9ctricos 2010 (2).pdf" xr:uid="{00000000-0004-0000-0400-000007000000}"/>
    <hyperlink ref="B40" r:id="rId9" xr:uid="{00000000-0004-0000-0400-000008000000}"/>
  </hyperlinks>
  <pageMargins left="0.7" right="0.7" top="0.75" bottom="0.75" header="0.3" footer="0.3"/>
  <pageSetup orientation="portrait" r:id="rId10"/>
  <legacy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General</vt:lpstr>
      <vt:lpstr>Proveedores</vt:lpstr>
      <vt:lpstr>Formato</vt:lpstr>
      <vt:lpstr>Variables</vt:lpstr>
      <vt:lpstr>Factores</vt:lpstr>
      <vt:lpstr>Proveedores!_Hlk511018708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MRV</dc:creator>
  <cp:lastModifiedBy>Alfonso Cordova</cp:lastModifiedBy>
  <dcterms:created xsi:type="dcterms:W3CDTF">2019-07-18T16:28:56Z</dcterms:created>
  <dcterms:modified xsi:type="dcterms:W3CDTF">2020-05-28T00:10:31Z</dcterms:modified>
</cp:coreProperties>
</file>