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gen\Google Drive\MINEM_MRV\ENTREGABLES\3ER ENTREGABLE\Plantillas MedMit\2.1 Coccion Limpia\"/>
    </mc:Choice>
  </mc:AlternateContent>
  <bookViews>
    <workbookView xWindow="0" yWindow="0" windowWidth="24000" windowHeight="9435" activeTab="4"/>
  </bookViews>
  <sheets>
    <sheet name="General" sheetId="1" r:id="rId1"/>
    <sheet name="Proveedores" sheetId="2" r:id="rId2"/>
    <sheet name="Formato" sheetId="3" r:id="rId3"/>
    <sheet name="Variables" sheetId="4" r:id="rId4"/>
    <sheet name="Factores" sheetId="5" r:id="rId5"/>
    <sheet name="Propuesto" sheetId="6" r:id="rId6"/>
  </sheets>
  <externalReferences>
    <externalReference r:id="rId7"/>
    <externalReference r:id="rId8"/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6" l="1"/>
  <c r="H38" i="6" s="1"/>
  <c r="G37" i="6"/>
  <c r="H37" i="6" s="1"/>
  <c r="G36" i="6"/>
  <c r="H36" i="6" s="1"/>
  <c r="G35" i="6"/>
  <c r="H35" i="6" s="1"/>
  <c r="G34" i="6"/>
  <c r="H34" i="6" s="1"/>
  <c r="G33" i="6"/>
  <c r="H33" i="6" s="1"/>
  <c r="P181" i="6"/>
  <c r="D23" i="6"/>
  <c r="D22" i="6"/>
  <c r="D21" i="6"/>
  <c r="D20" i="6"/>
  <c r="D19" i="6"/>
  <c r="F23" i="6"/>
  <c r="F22" i="6"/>
  <c r="F21" i="6"/>
  <c r="F20" i="6"/>
  <c r="F19" i="6"/>
  <c r="D18" i="6"/>
  <c r="F18" i="6"/>
  <c r="C181" i="3"/>
  <c r="E181" i="3"/>
  <c r="O181" i="3"/>
  <c r="L23" i="6"/>
  <c r="M23" i="6" s="1"/>
  <c r="L22" i="6"/>
  <c r="M22" i="6" s="1"/>
  <c r="L21" i="6"/>
  <c r="L20" i="6"/>
  <c r="M20" i="6" s="1"/>
  <c r="L19" i="6"/>
  <c r="M19" i="6" s="1"/>
  <c r="L18" i="6"/>
  <c r="M21" i="6"/>
  <c r="M18" i="6" l="1"/>
  <c r="Q5" i="3"/>
  <c r="K9" i="6" l="1"/>
  <c r="K8" i="6"/>
  <c r="K7" i="6"/>
  <c r="K6" i="6"/>
  <c r="H9" i="6" l="1"/>
  <c r="H8" i="6"/>
  <c r="H7" i="6"/>
  <c r="H6" i="6"/>
  <c r="F177" i="3" l="1"/>
  <c r="E177" i="3" s="1"/>
  <c r="V25" i="3"/>
  <c r="W25" i="3"/>
  <c r="X25" i="3"/>
  <c r="Y25" i="3"/>
  <c r="Z25" i="3"/>
  <c r="AA25" i="3"/>
  <c r="AB25" i="3"/>
  <c r="V26" i="3"/>
  <c r="W26" i="3"/>
  <c r="X26" i="3"/>
  <c r="X45" i="3" s="1"/>
  <c r="Y26" i="3"/>
  <c r="Z26" i="3"/>
  <c r="Z45" i="3" s="1"/>
  <c r="AA26" i="3"/>
  <c r="AB26" i="3"/>
  <c r="AB45" i="3" s="1"/>
  <c r="V27" i="3"/>
  <c r="W27" i="3"/>
  <c r="X27" i="3"/>
  <c r="Y27" i="3"/>
  <c r="Z27" i="3"/>
  <c r="AA27" i="3"/>
  <c r="AB27" i="3"/>
  <c r="V28" i="3"/>
  <c r="W28" i="3"/>
  <c r="X28" i="3"/>
  <c r="Y28" i="3"/>
  <c r="Z28" i="3"/>
  <c r="AA28" i="3"/>
  <c r="AB28" i="3"/>
  <c r="V29" i="3"/>
  <c r="W29" i="3"/>
  <c r="X29" i="3"/>
  <c r="Y29" i="3"/>
  <c r="Z29" i="3"/>
  <c r="AA29" i="3"/>
  <c r="AB29" i="3"/>
  <c r="V30" i="3"/>
  <c r="W30" i="3"/>
  <c r="X30" i="3"/>
  <c r="Y30" i="3"/>
  <c r="Z30" i="3"/>
  <c r="AA30" i="3"/>
  <c r="AB30" i="3"/>
  <c r="V31" i="3"/>
  <c r="W31" i="3"/>
  <c r="X31" i="3"/>
  <c r="Y31" i="3"/>
  <c r="Z31" i="3"/>
  <c r="AA31" i="3"/>
  <c r="AB31" i="3"/>
  <c r="V32" i="3"/>
  <c r="W32" i="3"/>
  <c r="X32" i="3"/>
  <c r="Y32" i="3"/>
  <c r="Z32" i="3"/>
  <c r="AA32" i="3"/>
  <c r="AB32" i="3"/>
  <c r="V33" i="3"/>
  <c r="W33" i="3"/>
  <c r="X33" i="3"/>
  <c r="Y33" i="3"/>
  <c r="Z33" i="3"/>
  <c r="AA33" i="3"/>
  <c r="AB33" i="3"/>
  <c r="V34" i="3"/>
  <c r="W34" i="3"/>
  <c r="X34" i="3"/>
  <c r="Y34" i="3"/>
  <c r="Z34" i="3"/>
  <c r="AA34" i="3"/>
  <c r="AB34" i="3"/>
  <c r="V35" i="3"/>
  <c r="W35" i="3"/>
  <c r="X35" i="3"/>
  <c r="Y35" i="3"/>
  <c r="Z35" i="3"/>
  <c r="AA35" i="3"/>
  <c r="AB35" i="3"/>
  <c r="V36" i="3"/>
  <c r="W36" i="3"/>
  <c r="X36" i="3"/>
  <c r="Y36" i="3"/>
  <c r="Z36" i="3"/>
  <c r="AA36" i="3"/>
  <c r="AB36" i="3"/>
  <c r="V37" i="3"/>
  <c r="W37" i="3"/>
  <c r="X37" i="3"/>
  <c r="Y37" i="3"/>
  <c r="Z37" i="3"/>
  <c r="AA37" i="3"/>
  <c r="AB37" i="3"/>
  <c r="V38" i="3"/>
  <c r="W38" i="3"/>
  <c r="X38" i="3"/>
  <c r="Y38" i="3"/>
  <c r="Z38" i="3"/>
  <c r="AA38" i="3"/>
  <c r="AB38" i="3"/>
  <c r="V39" i="3"/>
  <c r="W39" i="3"/>
  <c r="X39" i="3"/>
  <c r="Y39" i="3"/>
  <c r="Z39" i="3"/>
  <c r="AA39" i="3"/>
  <c r="AB39" i="3"/>
  <c r="V40" i="3"/>
  <c r="W40" i="3"/>
  <c r="X40" i="3"/>
  <c r="Y40" i="3"/>
  <c r="Z40" i="3"/>
  <c r="AA40" i="3"/>
  <c r="AB40" i="3"/>
  <c r="V41" i="3"/>
  <c r="W41" i="3"/>
  <c r="X41" i="3"/>
  <c r="Y41" i="3"/>
  <c r="Z41" i="3"/>
  <c r="AA41" i="3"/>
  <c r="AB41" i="3"/>
  <c r="V42" i="3"/>
  <c r="W42" i="3"/>
  <c r="X42" i="3"/>
  <c r="Y42" i="3"/>
  <c r="Z42" i="3"/>
  <c r="AA42" i="3"/>
  <c r="AB42" i="3"/>
  <c r="V43" i="3"/>
  <c r="W43" i="3"/>
  <c r="X43" i="3"/>
  <c r="Y43" i="3"/>
  <c r="Z43" i="3"/>
  <c r="AA43" i="3"/>
  <c r="AB43" i="3"/>
  <c r="V44" i="3"/>
  <c r="W44" i="3"/>
  <c r="X44" i="3"/>
  <c r="Y44" i="3"/>
  <c r="Z44" i="3"/>
  <c r="AA44" i="3"/>
  <c r="AB44" i="3"/>
  <c r="AB24" i="3"/>
  <c r="AA24" i="3"/>
  <c r="AA45" i="3" s="1"/>
  <c r="Z24" i="3"/>
  <c r="Y24" i="3"/>
  <c r="Y45" i="3" s="1"/>
  <c r="X24" i="3"/>
  <c r="W24" i="3"/>
  <c r="W45" i="3" s="1"/>
  <c r="V24" i="3"/>
  <c r="V45" i="3" s="1"/>
  <c r="W15" i="3"/>
  <c r="V6" i="3"/>
  <c r="W6" i="3"/>
  <c r="W23" i="3" s="1"/>
  <c r="X6" i="3"/>
  <c r="Y6" i="3"/>
  <c r="Y23" i="3" s="1"/>
  <c r="Z6" i="3"/>
  <c r="AA6" i="3"/>
  <c r="AA23" i="3" s="1"/>
  <c r="AB6" i="3"/>
  <c r="V7" i="3"/>
  <c r="V23" i="3" s="1"/>
  <c r="W7" i="3"/>
  <c r="X7" i="3"/>
  <c r="Y7" i="3"/>
  <c r="Z7" i="3"/>
  <c r="AA7" i="3"/>
  <c r="AB7" i="3"/>
  <c r="V8" i="3"/>
  <c r="W8" i="3"/>
  <c r="X8" i="3"/>
  <c r="Y8" i="3"/>
  <c r="Z8" i="3"/>
  <c r="AA8" i="3"/>
  <c r="AB8" i="3"/>
  <c r="V9" i="3"/>
  <c r="W9" i="3"/>
  <c r="X9" i="3"/>
  <c r="Y9" i="3"/>
  <c r="Z9" i="3"/>
  <c r="AA9" i="3"/>
  <c r="AB9" i="3"/>
  <c r="V10" i="3"/>
  <c r="W10" i="3"/>
  <c r="X10" i="3"/>
  <c r="Y10" i="3"/>
  <c r="Z10" i="3"/>
  <c r="AA10" i="3"/>
  <c r="AB10" i="3"/>
  <c r="V11" i="3"/>
  <c r="W11" i="3"/>
  <c r="X11" i="3"/>
  <c r="Y11" i="3"/>
  <c r="Z11" i="3"/>
  <c r="AA11" i="3"/>
  <c r="AB11" i="3"/>
  <c r="V12" i="3"/>
  <c r="W12" i="3"/>
  <c r="X12" i="3"/>
  <c r="Y12" i="3"/>
  <c r="Z12" i="3"/>
  <c r="AA12" i="3"/>
  <c r="AB12" i="3"/>
  <c r="V13" i="3"/>
  <c r="W13" i="3"/>
  <c r="X13" i="3"/>
  <c r="Y13" i="3"/>
  <c r="Z13" i="3"/>
  <c r="AA13" i="3"/>
  <c r="AB13" i="3"/>
  <c r="V14" i="3"/>
  <c r="W14" i="3"/>
  <c r="X14" i="3"/>
  <c r="Y14" i="3"/>
  <c r="Z14" i="3"/>
  <c r="AA14" i="3"/>
  <c r="AB14" i="3"/>
  <c r="V15" i="3"/>
  <c r="X15" i="3"/>
  <c r="Y15" i="3"/>
  <c r="Z15" i="3"/>
  <c r="AA15" i="3"/>
  <c r="AB15" i="3"/>
  <c r="V16" i="3"/>
  <c r="W16" i="3"/>
  <c r="X16" i="3"/>
  <c r="Y16" i="3"/>
  <c r="Z16" i="3"/>
  <c r="AA16" i="3"/>
  <c r="AB16" i="3"/>
  <c r="V17" i="3"/>
  <c r="W17" i="3"/>
  <c r="X17" i="3"/>
  <c r="Y17" i="3"/>
  <c r="Z17" i="3"/>
  <c r="AA17" i="3"/>
  <c r="AB17" i="3"/>
  <c r="V18" i="3"/>
  <c r="W18" i="3"/>
  <c r="X18" i="3"/>
  <c r="Y18" i="3"/>
  <c r="Z18" i="3"/>
  <c r="AA18" i="3"/>
  <c r="AB18" i="3"/>
  <c r="V19" i="3"/>
  <c r="W19" i="3"/>
  <c r="X19" i="3"/>
  <c r="Y19" i="3"/>
  <c r="Z19" i="3"/>
  <c r="AA19" i="3"/>
  <c r="AB19" i="3"/>
  <c r="V20" i="3"/>
  <c r="W20" i="3"/>
  <c r="X20" i="3"/>
  <c r="Y20" i="3"/>
  <c r="Z20" i="3"/>
  <c r="AA20" i="3"/>
  <c r="AB20" i="3"/>
  <c r="V21" i="3"/>
  <c r="W21" i="3"/>
  <c r="X21" i="3"/>
  <c r="Y21" i="3"/>
  <c r="Z21" i="3"/>
  <c r="AA21" i="3"/>
  <c r="AB21" i="3"/>
  <c r="V22" i="3"/>
  <c r="W22" i="3"/>
  <c r="X22" i="3"/>
  <c r="Y22" i="3"/>
  <c r="Z22" i="3"/>
  <c r="AA22" i="3"/>
  <c r="AB22" i="3"/>
  <c r="W5" i="3"/>
  <c r="X5" i="3"/>
  <c r="X23" i="3" s="1"/>
  <c r="Y5" i="3"/>
  <c r="Z5" i="3"/>
  <c r="Z23" i="3" s="1"/>
  <c r="AA5" i="3"/>
  <c r="AB5" i="3"/>
  <c r="AB23" i="3" s="1"/>
  <c r="V5" i="3"/>
  <c r="E149" i="3"/>
  <c r="K10" i="6" l="1"/>
  <c r="H149" i="3"/>
  <c r="E237" i="3"/>
  <c r="C237" i="3" s="1"/>
  <c r="E239" i="3"/>
  <c r="C239" i="3" s="1"/>
  <c r="E241" i="3"/>
  <c r="C241" i="3" s="1"/>
  <c r="E243" i="3"/>
  <c r="C243" i="3" s="1"/>
  <c r="E245" i="3"/>
  <c r="C245" i="3" s="1"/>
  <c r="E247" i="3"/>
  <c r="C247" i="3" s="1"/>
  <c r="E213" i="3"/>
  <c r="C213" i="3" s="1"/>
  <c r="E215" i="3"/>
  <c r="C215" i="3" s="1"/>
  <c r="E217" i="3"/>
  <c r="C217" i="3" s="1"/>
  <c r="E219" i="3"/>
  <c r="C219" i="3" s="1"/>
  <c r="E221" i="3"/>
  <c r="C221" i="3" s="1"/>
  <c r="E223" i="3"/>
  <c r="C223" i="3" s="1"/>
  <c r="F237" i="3"/>
  <c r="F238" i="3"/>
  <c r="E238" i="3" s="1"/>
  <c r="F239" i="3"/>
  <c r="F240" i="3"/>
  <c r="E240" i="3" s="1"/>
  <c r="F241" i="3"/>
  <c r="F242" i="3"/>
  <c r="E242" i="3" s="1"/>
  <c r="F243" i="3"/>
  <c r="F244" i="3"/>
  <c r="E244" i="3" s="1"/>
  <c r="F245" i="3"/>
  <c r="F246" i="3"/>
  <c r="E246" i="3" s="1"/>
  <c r="F247" i="3"/>
  <c r="F236" i="3"/>
  <c r="F225" i="3"/>
  <c r="E225" i="3" s="1"/>
  <c r="F226" i="3"/>
  <c r="E226" i="3" s="1"/>
  <c r="F227" i="3"/>
  <c r="E227" i="3" s="1"/>
  <c r="F228" i="3"/>
  <c r="E228" i="3" s="1"/>
  <c r="F229" i="3"/>
  <c r="E229" i="3" s="1"/>
  <c r="F230" i="3"/>
  <c r="E230" i="3" s="1"/>
  <c r="F231" i="3"/>
  <c r="E231" i="3" s="1"/>
  <c r="F232" i="3"/>
  <c r="E232" i="3" s="1"/>
  <c r="F233" i="3"/>
  <c r="E233" i="3" s="1"/>
  <c r="F234" i="3"/>
  <c r="E234" i="3" s="1"/>
  <c r="F235" i="3"/>
  <c r="E235" i="3" s="1"/>
  <c r="F224" i="3"/>
  <c r="F213" i="3"/>
  <c r="F214" i="3"/>
  <c r="E214" i="3" s="1"/>
  <c r="F215" i="3"/>
  <c r="F216" i="3"/>
  <c r="E216" i="3" s="1"/>
  <c r="F217" i="3"/>
  <c r="F218" i="3"/>
  <c r="E218" i="3" s="1"/>
  <c r="F219" i="3"/>
  <c r="F220" i="3"/>
  <c r="E220" i="3" s="1"/>
  <c r="F221" i="3"/>
  <c r="F222" i="3"/>
  <c r="E222" i="3" s="1"/>
  <c r="F223" i="3"/>
  <c r="F212" i="3"/>
  <c r="E212" i="3" s="1"/>
  <c r="P212" i="3" s="1"/>
  <c r="P222" i="3" l="1"/>
  <c r="C222" i="3"/>
  <c r="P220" i="3"/>
  <c r="C220" i="3"/>
  <c r="P218" i="3"/>
  <c r="C218" i="3"/>
  <c r="P216" i="3"/>
  <c r="C216" i="3"/>
  <c r="P214" i="3"/>
  <c r="C214" i="3"/>
  <c r="P234" i="3"/>
  <c r="C234" i="3"/>
  <c r="P232" i="3"/>
  <c r="C232" i="3"/>
  <c r="P230" i="3"/>
  <c r="C230" i="3"/>
  <c r="P228" i="3"/>
  <c r="C228" i="3"/>
  <c r="P226" i="3"/>
  <c r="C226" i="3"/>
  <c r="P246" i="3"/>
  <c r="C246" i="3"/>
  <c r="P244" i="3"/>
  <c r="C244" i="3"/>
  <c r="P242" i="3"/>
  <c r="C242" i="3"/>
  <c r="P240" i="3"/>
  <c r="C240" i="3"/>
  <c r="P238" i="3"/>
  <c r="C238" i="3"/>
  <c r="W223" i="3"/>
  <c r="Y223" i="3"/>
  <c r="AA223" i="3"/>
  <c r="V223" i="3"/>
  <c r="Z223" i="3"/>
  <c r="AB223" i="3"/>
  <c r="X223" i="3"/>
  <c r="O223" i="3"/>
  <c r="Q223" i="3" s="1"/>
  <c r="R223" i="3" s="1"/>
  <c r="N223" i="3"/>
  <c r="W219" i="3"/>
  <c r="Y219" i="3"/>
  <c r="AA219" i="3"/>
  <c r="V219" i="3"/>
  <c r="Z219" i="3"/>
  <c r="X219" i="3"/>
  <c r="AB219" i="3"/>
  <c r="O219" i="3"/>
  <c r="N219" i="3"/>
  <c r="W215" i="3"/>
  <c r="Y215" i="3"/>
  <c r="AA215" i="3"/>
  <c r="V215" i="3"/>
  <c r="Z215" i="3"/>
  <c r="AB215" i="3"/>
  <c r="X215" i="3"/>
  <c r="O215" i="3"/>
  <c r="Q215" i="3" s="1"/>
  <c r="R215" i="3" s="1"/>
  <c r="N215" i="3"/>
  <c r="V247" i="3"/>
  <c r="X247" i="3"/>
  <c r="Z247" i="3"/>
  <c r="AB247" i="3"/>
  <c r="W247" i="3"/>
  <c r="AA247" i="3"/>
  <c r="Y247" i="3"/>
  <c r="O247" i="3"/>
  <c r="N247" i="3"/>
  <c r="V243" i="3"/>
  <c r="X243" i="3"/>
  <c r="Z243" i="3"/>
  <c r="AB243" i="3"/>
  <c r="W243" i="3"/>
  <c r="AA243" i="3"/>
  <c r="Y243" i="3"/>
  <c r="O243" i="3"/>
  <c r="Q243" i="3" s="1"/>
  <c r="R243" i="3" s="1"/>
  <c r="N243" i="3"/>
  <c r="V239" i="3"/>
  <c r="X239" i="3"/>
  <c r="Z239" i="3"/>
  <c r="AB239" i="3"/>
  <c r="W239" i="3"/>
  <c r="AA239" i="3"/>
  <c r="Y239" i="3"/>
  <c r="O239" i="3"/>
  <c r="N239" i="3"/>
  <c r="P235" i="3"/>
  <c r="C235" i="3"/>
  <c r="P233" i="3"/>
  <c r="C233" i="3"/>
  <c r="P231" i="3"/>
  <c r="C231" i="3"/>
  <c r="P229" i="3"/>
  <c r="C229" i="3"/>
  <c r="P227" i="3"/>
  <c r="C227" i="3"/>
  <c r="P225" i="3"/>
  <c r="C225" i="3"/>
  <c r="W221" i="3"/>
  <c r="Y221" i="3"/>
  <c r="AA221" i="3"/>
  <c r="X221" i="3"/>
  <c r="AB221" i="3"/>
  <c r="Z221" i="3"/>
  <c r="V221" i="3"/>
  <c r="O221" i="3"/>
  <c r="N221" i="3"/>
  <c r="W217" i="3"/>
  <c r="Y217" i="3"/>
  <c r="AA217" i="3"/>
  <c r="X217" i="3"/>
  <c r="AB217" i="3"/>
  <c r="V217" i="3"/>
  <c r="Z217" i="3"/>
  <c r="O217" i="3"/>
  <c r="N217" i="3"/>
  <c r="W213" i="3"/>
  <c r="Y213" i="3"/>
  <c r="AA213" i="3"/>
  <c r="X213" i="3"/>
  <c r="AB213" i="3"/>
  <c r="Z213" i="3"/>
  <c r="V213" i="3"/>
  <c r="O213" i="3"/>
  <c r="N213" i="3"/>
  <c r="V245" i="3"/>
  <c r="X245" i="3"/>
  <c r="Z245" i="3"/>
  <c r="AB245" i="3"/>
  <c r="Y245" i="3"/>
  <c r="W245" i="3"/>
  <c r="AA245" i="3"/>
  <c r="O245" i="3"/>
  <c r="N245" i="3"/>
  <c r="V241" i="3"/>
  <c r="X241" i="3"/>
  <c r="Z241" i="3"/>
  <c r="AB241" i="3"/>
  <c r="Y241" i="3"/>
  <c r="W241" i="3"/>
  <c r="AA241" i="3"/>
  <c r="O241" i="3"/>
  <c r="N241" i="3"/>
  <c r="V237" i="3"/>
  <c r="X237" i="3"/>
  <c r="Z237" i="3"/>
  <c r="AB237" i="3"/>
  <c r="Y237" i="3"/>
  <c r="W237" i="3"/>
  <c r="AA237" i="3"/>
  <c r="O237" i="3"/>
  <c r="N237" i="3"/>
  <c r="P223" i="3"/>
  <c r="P221" i="3"/>
  <c r="P219" i="3"/>
  <c r="P217" i="3"/>
  <c r="P215" i="3"/>
  <c r="P213" i="3"/>
  <c r="P247" i="3"/>
  <c r="P245" i="3"/>
  <c r="P243" i="3"/>
  <c r="P241" i="3"/>
  <c r="P239" i="3"/>
  <c r="P237" i="3"/>
  <c r="F200" i="3"/>
  <c r="E200" i="3" s="1"/>
  <c r="P200" i="3" s="1"/>
  <c r="F201" i="3"/>
  <c r="E201" i="3" s="1"/>
  <c r="P201" i="3" s="1"/>
  <c r="F202" i="3"/>
  <c r="E202" i="3" s="1"/>
  <c r="P202" i="3" s="1"/>
  <c r="F203" i="3"/>
  <c r="E203" i="3" s="1"/>
  <c r="P203" i="3" s="1"/>
  <c r="F204" i="3"/>
  <c r="E204" i="3" s="1"/>
  <c r="P204" i="3" s="1"/>
  <c r="F205" i="3"/>
  <c r="E205" i="3" s="1"/>
  <c r="P205" i="3" s="1"/>
  <c r="F206" i="3"/>
  <c r="E206" i="3" s="1"/>
  <c r="P206" i="3" s="1"/>
  <c r="F207" i="3"/>
  <c r="E207" i="3" s="1"/>
  <c r="P207" i="3" s="1"/>
  <c r="F208" i="3"/>
  <c r="E208" i="3" s="1"/>
  <c r="P208" i="3" s="1"/>
  <c r="F209" i="3"/>
  <c r="E209" i="3" s="1"/>
  <c r="P209" i="3" s="1"/>
  <c r="F210" i="3"/>
  <c r="E210" i="3" s="1"/>
  <c r="P210" i="3" s="1"/>
  <c r="F199" i="3"/>
  <c r="E199" i="3" s="1"/>
  <c r="P199" i="3" s="1"/>
  <c r="F188" i="3"/>
  <c r="E188" i="3" s="1"/>
  <c r="F189" i="3"/>
  <c r="E189" i="3" s="1"/>
  <c r="F190" i="3"/>
  <c r="E190" i="3" s="1"/>
  <c r="F191" i="3"/>
  <c r="E191" i="3" s="1"/>
  <c r="F192" i="3"/>
  <c r="E192" i="3" s="1"/>
  <c r="F193" i="3"/>
  <c r="E193" i="3" s="1"/>
  <c r="F194" i="3"/>
  <c r="E194" i="3" s="1"/>
  <c r="F195" i="3"/>
  <c r="E195" i="3" s="1"/>
  <c r="F196" i="3"/>
  <c r="E196" i="3" s="1"/>
  <c r="F197" i="3"/>
  <c r="E197" i="3" s="1"/>
  <c r="F198" i="3"/>
  <c r="E198" i="3" s="1"/>
  <c r="F187" i="3"/>
  <c r="E187" i="3" s="1"/>
  <c r="P187" i="3" s="1"/>
  <c r="F176" i="3"/>
  <c r="E176" i="3" s="1"/>
  <c r="F178" i="3"/>
  <c r="E178" i="3" s="1"/>
  <c r="F179" i="3"/>
  <c r="E179" i="3" s="1"/>
  <c r="F180" i="3"/>
  <c r="E180" i="3" s="1"/>
  <c r="F181" i="3"/>
  <c r="F182" i="3"/>
  <c r="E182" i="3" s="1"/>
  <c r="F183" i="3"/>
  <c r="E183" i="3" s="1"/>
  <c r="F184" i="3"/>
  <c r="E184" i="3" s="1"/>
  <c r="F185" i="3"/>
  <c r="E185" i="3" s="1"/>
  <c r="F186" i="3"/>
  <c r="E186" i="3" s="1"/>
  <c r="F175" i="3"/>
  <c r="E175" i="3" s="1"/>
  <c r="P175" i="3" s="1"/>
  <c r="C180" i="3" l="1"/>
  <c r="P180" i="3"/>
  <c r="C178" i="3"/>
  <c r="P178" i="3"/>
  <c r="Q241" i="3"/>
  <c r="R241" i="3" s="1"/>
  <c r="Q213" i="3"/>
  <c r="R213" i="3" s="1"/>
  <c r="Q221" i="3"/>
  <c r="R221" i="3" s="1"/>
  <c r="W225" i="3"/>
  <c r="Y225" i="3"/>
  <c r="AA225" i="3"/>
  <c r="X225" i="3"/>
  <c r="AB225" i="3"/>
  <c r="V225" i="3"/>
  <c r="Z225" i="3"/>
  <c r="O225" i="3"/>
  <c r="Q225" i="3" s="1"/>
  <c r="N225" i="3"/>
  <c r="W227" i="3"/>
  <c r="Y227" i="3"/>
  <c r="AA227" i="3"/>
  <c r="V227" i="3"/>
  <c r="Z227" i="3"/>
  <c r="X227" i="3"/>
  <c r="AB227" i="3"/>
  <c r="O227" i="3"/>
  <c r="Q227" i="3" s="1"/>
  <c r="R227" i="3" s="1"/>
  <c r="N227" i="3"/>
  <c r="W229" i="3"/>
  <c r="Y229" i="3"/>
  <c r="AA229" i="3"/>
  <c r="X229" i="3"/>
  <c r="AB229" i="3"/>
  <c r="Z229" i="3"/>
  <c r="V229" i="3"/>
  <c r="O229" i="3"/>
  <c r="Q229" i="3" s="1"/>
  <c r="N229" i="3"/>
  <c r="W231" i="3"/>
  <c r="Y231" i="3"/>
  <c r="AA231" i="3"/>
  <c r="V231" i="3"/>
  <c r="Z231" i="3"/>
  <c r="AB231" i="3"/>
  <c r="X231" i="3"/>
  <c r="O231" i="3"/>
  <c r="Q231" i="3" s="1"/>
  <c r="R231" i="3" s="1"/>
  <c r="N231" i="3"/>
  <c r="W233" i="3"/>
  <c r="Y233" i="3"/>
  <c r="AA233" i="3"/>
  <c r="X233" i="3"/>
  <c r="AB233" i="3"/>
  <c r="V233" i="3"/>
  <c r="Z233" i="3"/>
  <c r="O233" i="3"/>
  <c r="Q233" i="3" s="1"/>
  <c r="N233" i="3"/>
  <c r="W235" i="3"/>
  <c r="Y235" i="3"/>
  <c r="AA235" i="3"/>
  <c r="V235" i="3"/>
  <c r="Z235" i="3"/>
  <c r="X235" i="3"/>
  <c r="AB235" i="3"/>
  <c r="O235" i="3"/>
  <c r="Q235" i="3" s="1"/>
  <c r="R235" i="3" s="1"/>
  <c r="N235" i="3"/>
  <c r="W238" i="3"/>
  <c r="Y238" i="3"/>
  <c r="AA238" i="3"/>
  <c r="V238" i="3"/>
  <c r="Z238" i="3"/>
  <c r="X238" i="3"/>
  <c r="AB238" i="3"/>
  <c r="N238" i="3"/>
  <c r="O238" i="3"/>
  <c r="Q238" i="3" s="1"/>
  <c r="R238" i="3" s="1"/>
  <c r="W240" i="3"/>
  <c r="Y240" i="3"/>
  <c r="AA240" i="3"/>
  <c r="X240" i="3"/>
  <c r="AB240" i="3"/>
  <c r="V240" i="3"/>
  <c r="Z240" i="3"/>
  <c r="N240" i="3"/>
  <c r="O240" i="3"/>
  <c r="Q240" i="3" s="1"/>
  <c r="W242" i="3"/>
  <c r="Y242" i="3"/>
  <c r="AA242" i="3"/>
  <c r="V242" i="3"/>
  <c r="Z242" i="3"/>
  <c r="X242" i="3"/>
  <c r="AB242" i="3"/>
  <c r="N242" i="3"/>
  <c r="O242" i="3"/>
  <c r="Q242" i="3" s="1"/>
  <c r="R242" i="3" s="1"/>
  <c r="W244" i="3"/>
  <c r="Y244" i="3"/>
  <c r="AA244" i="3"/>
  <c r="X244" i="3"/>
  <c r="AB244" i="3"/>
  <c r="V244" i="3"/>
  <c r="Z244" i="3"/>
  <c r="N244" i="3"/>
  <c r="O244" i="3"/>
  <c r="Q244" i="3" s="1"/>
  <c r="W246" i="3"/>
  <c r="Y246" i="3"/>
  <c r="AA246" i="3"/>
  <c r="V246" i="3"/>
  <c r="Z246" i="3"/>
  <c r="X246" i="3"/>
  <c r="AB246" i="3"/>
  <c r="N246" i="3"/>
  <c r="O246" i="3"/>
  <c r="Q246" i="3" s="1"/>
  <c r="R246" i="3" s="1"/>
  <c r="V226" i="3"/>
  <c r="X226" i="3"/>
  <c r="Z226" i="3"/>
  <c r="AB226" i="3"/>
  <c r="Y226" i="3"/>
  <c r="W226" i="3"/>
  <c r="AA226" i="3"/>
  <c r="N226" i="3"/>
  <c r="O226" i="3"/>
  <c r="Q226" i="3" s="1"/>
  <c r="V228" i="3"/>
  <c r="X228" i="3"/>
  <c r="Z228" i="3"/>
  <c r="AB228" i="3"/>
  <c r="W228" i="3"/>
  <c r="AA228" i="3"/>
  <c r="Y228" i="3"/>
  <c r="N228" i="3"/>
  <c r="O228" i="3"/>
  <c r="Q228" i="3" s="1"/>
  <c r="R228" i="3" s="1"/>
  <c r="V230" i="3"/>
  <c r="X230" i="3"/>
  <c r="Z230" i="3"/>
  <c r="AB230" i="3"/>
  <c r="Y230" i="3"/>
  <c r="AA230" i="3"/>
  <c r="W230" i="3"/>
  <c r="N230" i="3"/>
  <c r="O230" i="3"/>
  <c r="Q230" i="3" s="1"/>
  <c r="V232" i="3"/>
  <c r="X232" i="3"/>
  <c r="Z232" i="3"/>
  <c r="AB232" i="3"/>
  <c r="W232" i="3"/>
  <c r="AA232" i="3"/>
  <c r="Y232" i="3"/>
  <c r="N232" i="3"/>
  <c r="O232" i="3"/>
  <c r="Q232" i="3" s="1"/>
  <c r="R232" i="3" s="1"/>
  <c r="V234" i="3"/>
  <c r="X234" i="3"/>
  <c r="Z234" i="3"/>
  <c r="AB234" i="3"/>
  <c r="Y234" i="3"/>
  <c r="W234" i="3"/>
  <c r="AA234" i="3"/>
  <c r="N234" i="3"/>
  <c r="O234" i="3"/>
  <c r="Q234" i="3" s="1"/>
  <c r="V214" i="3"/>
  <c r="X214" i="3"/>
  <c r="Z214" i="3"/>
  <c r="AB214" i="3"/>
  <c r="Y214" i="3"/>
  <c r="AA214" i="3"/>
  <c r="W214" i="3"/>
  <c r="N214" i="3"/>
  <c r="O214" i="3"/>
  <c r="Q214" i="3" s="1"/>
  <c r="R214" i="3" s="1"/>
  <c r="V216" i="3"/>
  <c r="X216" i="3"/>
  <c r="Z216" i="3"/>
  <c r="AB216" i="3"/>
  <c r="W216" i="3"/>
  <c r="AA216" i="3"/>
  <c r="Y216" i="3"/>
  <c r="N216" i="3"/>
  <c r="O216" i="3"/>
  <c r="Q216" i="3" s="1"/>
  <c r="V218" i="3"/>
  <c r="X218" i="3"/>
  <c r="Z218" i="3"/>
  <c r="AB218" i="3"/>
  <c r="Y218" i="3"/>
  <c r="W218" i="3"/>
  <c r="AA218" i="3"/>
  <c r="N218" i="3"/>
  <c r="O218" i="3"/>
  <c r="Q218" i="3" s="1"/>
  <c r="R218" i="3" s="1"/>
  <c r="V220" i="3"/>
  <c r="X220" i="3"/>
  <c r="Z220" i="3"/>
  <c r="AB220" i="3"/>
  <c r="W220" i="3"/>
  <c r="AA220" i="3"/>
  <c r="Y220" i="3"/>
  <c r="N220" i="3"/>
  <c r="O220" i="3"/>
  <c r="Q220" i="3" s="1"/>
  <c r="V222" i="3"/>
  <c r="X222" i="3"/>
  <c r="Z222" i="3"/>
  <c r="AB222" i="3"/>
  <c r="Y222" i="3"/>
  <c r="AA222" i="3"/>
  <c r="W222" i="3"/>
  <c r="N222" i="3"/>
  <c r="O222" i="3"/>
  <c r="Q222" i="3" s="1"/>
  <c r="R222" i="3" s="1"/>
  <c r="C179" i="3"/>
  <c r="P179" i="3"/>
  <c r="C176" i="3"/>
  <c r="P176" i="3"/>
  <c r="Q237" i="3"/>
  <c r="R237" i="3" s="1"/>
  <c r="Q245" i="3"/>
  <c r="R245" i="3" s="1"/>
  <c r="Q217" i="3"/>
  <c r="R217" i="3" s="1"/>
  <c r="Q239" i="3"/>
  <c r="R239" i="3" s="1"/>
  <c r="Q247" i="3"/>
  <c r="R247" i="3" s="1"/>
  <c r="Q219" i="3"/>
  <c r="R219" i="3" s="1"/>
  <c r="C198" i="3"/>
  <c r="P198" i="3"/>
  <c r="C185" i="3"/>
  <c r="P185" i="3"/>
  <c r="P181" i="3"/>
  <c r="C197" i="3"/>
  <c r="P197" i="3"/>
  <c r="C193" i="3"/>
  <c r="P193" i="3"/>
  <c r="C189" i="3"/>
  <c r="P189" i="3"/>
  <c r="C184" i="3"/>
  <c r="P184" i="3"/>
  <c r="C183" i="3"/>
  <c r="P183" i="3"/>
  <c r="C195" i="3"/>
  <c r="P195" i="3"/>
  <c r="C191" i="3"/>
  <c r="P191" i="3"/>
  <c r="C186" i="3"/>
  <c r="P186" i="3"/>
  <c r="C182" i="3"/>
  <c r="P182" i="3"/>
  <c r="C194" i="3"/>
  <c r="P194" i="3"/>
  <c r="C190" i="3"/>
  <c r="P190" i="3"/>
  <c r="C196" i="3"/>
  <c r="P196" i="3"/>
  <c r="C192" i="3"/>
  <c r="P192" i="3"/>
  <c r="C188" i="3"/>
  <c r="P188" i="3"/>
  <c r="C200" i="3"/>
  <c r="C201" i="3"/>
  <c r="C202" i="3"/>
  <c r="C203" i="3"/>
  <c r="C204" i="3"/>
  <c r="C205" i="3"/>
  <c r="C206" i="3"/>
  <c r="C207" i="3"/>
  <c r="C208" i="3"/>
  <c r="C209" i="3"/>
  <c r="C210" i="3"/>
  <c r="O42" i="3"/>
  <c r="O43" i="3"/>
  <c r="R43" i="3"/>
  <c r="Q43" i="3"/>
  <c r="R42" i="3"/>
  <c r="Q42" i="3"/>
  <c r="F264" i="3"/>
  <c r="E264" i="3" s="1"/>
  <c r="C264" i="3" s="1"/>
  <c r="F261" i="3"/>
  <c r="E261" i="3" s="1"/>
  <c r="C261" i="3" s="1"/>
  <c r="F258" i="3"/>
  <c r="E258" i="3" s="1"/>
  <c r="C258" i="3" s="1"/>
  <c r="F255" i="3"/>
  <c r="E255" i="3" s="1"/>
  <c r="C255" i="3" s="1"/>
  <c r="F252" i="3"/>
  <c r="E252" i="3" s="1"/>
  <c r="C252" i="3" s="1"/>
  <c r="F249" i="3"/>
  <c r="E249" i="3" s="1"/>
  <c r="C249" i="3" s="1"/>
  <c r="C212" i="3"/>
  <c r="C199" i="3"/>
  <c r="AA212" i="3" l="1"/>
  <c r="Y212" i="3"/>
  <c r="W212" i="3"/>
  <c r="Z212" i="3"/>
  <c r="V212" i="3"/>
  <c r="E270" i="3"/>
  <c r="AB212" i="3"/>
  <c r="X212" i="3"/>
  <c r="O212" i="3"/>
  <c r="Q212" i="3" s="1"/>
  <c r="N212" i="3"/>
  <c r="W209" i="3"/>
  <c r="Y209" i="3"/>
  <c r="X209" i="3"/>
  <c r="AA209" i="3"/>
  <c r="V209" i="3"/>
  <c r="Z209" i="3"/>
  <c r="AB209" i="3"/>
  <c r="O209" i="3"/>
  <c r="Q209" i="3" s="1"/>
  <c r="N209" i="3"/>
  <c r="W207" i="3"/>
  <c r="Y207" i="3"/>
  <c r="AA207" i="3"/>
  <c r="V207" i="3"/>
  <c r="Z207" i="3"/>
  <c r="X207" i="3"/>
  <c r="AB207" i="3"/>
  <c r="O207" i="3"/>
  <c r="N207" i="3"/>
  <c r="W205" i="3"/>
  <c r="Y205" i="3"/>
  <c r="AA205" i="3"/>
  <c r="X205" i="3"/>
  <c r="AB205" i="3"/>
  <c r="V205" i="3"/>
  <c r="Z205" i="3"/>
  <c r="O205" i="3"/>
  <c r="N205" i="3"/>
  <c r="W203" i="3"/>
  <c r="Y203" i="3"/>
  <c r="AA203" i="3"/>
  <c r="V203" i="3"/>
  <c r="Z203" i="3"/>
  <c r="X203" i="3"/>
  <c r="AB203" i="3"/>
  <c r="O203" i="3"/>
  <c r="N203" i="3"/>
  <c r="W201" i="3"/>
  <c r="Y201" i="3"/>
  <c r="AA201" i="3"/>
  <c r="X201" i="3"/>
  <c r="AB201" i="3"/>
  <c r="V201" i="3"/>
  <c r="Z201" i="3"/>
  <c r="O201" i="3"/>
  <c r="Q201" i="3" s="1"/>
  <c r="N201" i="3"/>
  <c r="W199" i="3"/>
  <c r="Y199" i="3"/>
  <c r="AA199" i="3"/>
  <c r="V199" i="3"/>
  <c r="Z199" i="3"/>
  <c r="X199" i="3"/>
  <c r="AB199" i="3"/>
  <c r="O199" i="3"/>
  <c r="N199" i="3"/>
  <c r="V210" i="3"/>
  <c r="X210" i="3"/>
  <c r="Z210" i="3"/>
  <c r="AB210" i="3"/>
  <c r="Y210" i="3"/>
  <c r="W210" i="3"/>
  <c r="AA210" i="3"/>
  <c r="O210" i="3"/>
  <c r="Q210" i="3" s="1"/>
  <c r="N210" i="3"/>
  <c r="V208" i="3"/>
  <c r="X208" i="3"/>
  <c r="Z208" i="3"/>
  <c r="AB208" i="3"/>
  <c r="W208" i="3"/>
  <c r="AA208" i="3"/>
  <c r="Y208" i="3"/>
  <c r="O208" i="3"/>
  <c r="N208" i="3"/>
  <c r="V206" i="3"/>
  <c r="X206" i="3"/>
  <c r="Z206" i="3"/>
  <c r="AB206" i="3"/>
  <c r="Y206" i="3"/>
  <c r="W206" i="3"/>
  <c r="AA206" i="3"/>
  <c r="O206" i="3"/>
  <c r="N206" i="3"/>
  <c r="V204" i="3"/>
  <c r="X204" i="3"/>
  <c r="Z204" i="3"/>
  <c r="AB204" i="3"/>
  <c r="W204" i="3"/>
  <c r="AA204" i="3"/>
  <c r="Y204" i="3"/>
  <c r="O204" i="3"/>
  <c r="N204" i="3"/>
  <c r="V202" i="3"/>
  <c r="X202" i="3"/>
  <c r="Z202" i="3"/>
  <c r="AB202" i="3"/>
  <c r="Y202" i="3"/>
  <c r="W202" i="3"/>
  <c r="AA202" i="3"/>
  <c r="O202" i="3"/>
  <c r="Q202" i="3" s="1"/>
  <c r="N202" i="3"/>
  <c r="V200" i="3"/>
  <c r="X200" i="3"/>
  <c r="Z200" i="3"/>
  <c r="AB200" i="3"/>
  <c r="W200" i="3"/>
  <c r="AA200" i="3"/>
  <c r="Y200" i="3"/>
  <c r="O200" i="3"/>
  <c r="N200" i="3"/>
  <c r="V188" i="3"/>
  <c r="X188" i="3"/>
  <c r="Z188" i="3"/>
  <c r="AB188" i="3"/>
  <c r="W188" i="3"/>
  <c r="AA188" i="3"/>
  <c r="Y188" i="3"/>
  <c r="O188" i="3"/>
  <c r="Q188" i="3" s="1"/>
  <c r="N188" i="3"/>
  <c r="V192" i="3"/>
  <c r="X192" i="3"/>
  <c r="Z192" i="3"/>
  <c r="AB192" i="3"/>
  <c r="W192" i="3"/>
  <c r="AA192" i="3"/>
  <c r="Y192" i="3"/>
  <c r="O192" i="3"/>
  <c r="N192" i="3"/>
  <c r="V196" i="3"/>
  <c r="X196" i="3"/>
  <c r="Z196" i="3"/>
  <c r="AB196" i="3"/>
  <c r="W196" i="3"/>
  <c r="AA196" i="3"/>
  <c r="Y196" i="3"/>
  <c r="O196" i="3"/>
  <c r="N196" i="3"/>
  <c r="V190" i="3"/>
  <c r="X190" i="3"/>
  <c r="Z190" i="3"/>
  <c r="AB190" i="3"/>
  <c r="Y190" i="3"/>
  <c r="W190" i="3"/>
  <c r="AA190" i="3"/>
  <c r="O190" i="3"/>
  <c r="N190" i="3"/>
  <c r="V194" i="3"/>
  <c r="X194" i="3"/>
  <c r="Z194" i="3"/>
  <c r="AB194" i="3"/>
  <c r="Y194" i="3"/>
  <c r="W194" i="3"/>
  <c r="AA194" i="3"/>
  <c r="O194" i="3"/>
  <c r="N194" i="3"/>
  <c r="V182" i="3"/>
  <c r="X182" i="3"/>
  <c r="Z182" i="3"/>
  <c r="AB182" i="3"/>
  <c r="W182" i="3"/>
  <c r="Y182" i="3"/>
  <c r="AA182" i="3"/>
  <c r="N182" i="3"/>
  <c r="O182" i="3"/>
  <c r="Q182" i="3" s="1"/>
  <c r="V186" i="3"/>
  <c r="X186" i="3"/>
  <c r="Z186" i="3"/>
  <c r="AB186" i="3"/>
  <c r="W186" i="3"/>
  <c r="Y186" i="3"/>
  <c r="AA186" i="3"/>
  <c r="N186" i="3"/>
  <c r="O186" i="3"/>
  <c r="W191" i="3"/>
  <c r="Y191" i="3"/>
  <c r="AA191" i="3"/>
  <c r="V191" i="3"/>
  <c r="Z191" i="3"/>
  <c r="X191" i="3"/>
  <c r="AB191" i="3"/>
  <c r="O191" i="3"/>
  <c r="N191" i="3"/>
  <c r="W195" i="3"/>
  <c r="Y195" i="3"/>
  <c r="AA195" i="3"/>
  <c r="V195" i="3"/>
  <c r="Z195" i="3"/>
  <c r="X195" i="3"/>
  <c r="AB195" i="3"/>
  <c r="O195" i="3"/>
  <c r="N195" i="3"/>
  <c r="W183" i="3"/>
  <c r="Y183" i="3"/>
  <c r="AA183" i="3"/>
  <c r="V183" i="3"/>
  <c r="X183" i="3"/>
  <c r="Z183" i="3"/>
  <c r="AB183" i="3"/>
  <c r="O183" i="3"/>
  <c r="N183" i="3"/>
  <c r="V184" i="3"/>
  <c r="X184" i="3"/>
  <c r="Z184" i="3"/>
  <c r="AB184" i="3"/>
  <c r="W184" i="3"/>
  <c r="Y184" i="3"/>
  <c r="AA184" i="3"/>
  <c r="N184" i="3"/>
  <c r="O184" i="3"/>
  <c r="W189" i="3"/>
  <c r="Y189" i="3"/>
  <c r="AA189" i="3"/>
  <c r="X189" i="3"/>
  <c r="AB189" i="3"/>
  <c r="V189" i="3"/>
  <c r="Z189" i="3"/>
  <c r="O189" i="3"/>
  <c r="N189" i="3"/>
  <c r="W193" i="3"/>
  <c r="Y193" i="3"/>
  <c r="AA193" i="3"/>
  <c r="X193" i="3"/>
  <c r="AB193" i="3"/>
  <c r="V193" i="3"/>
  <c r="Z193" i="3"/>
  <c r="O193" i="3"/>
  <c r="N193" i="3"/>
  <c r="W197" i="3"/>
  <c r="Y197" i="3"/>
  <c r="AA197" i="3"/>
  <c r="X197" i="3"/>
  <c r="AB197" i="3"/>
  <c r="V197" i="3"/>
  <c r="Z197" i="3"/>
  <c r="O197" i="3"/>
  <c r="N197" i="3"/>
  <c r="Z181" i="3"/>
  <c r="AB181" i="3"/>
  <c r="X181" i="3"/>
  <c r="V181" i="3"/>
  <c r="AA181" i="3"/>
  <c r="W181" i="3"/>
  <c r="Y181" i="3"/>
  <c r="Q181" i="3"/>
  <c r="N181" i="3"/>
  <c r="W185" i="3"/>
  <c r="Y185" i="3"/>
  <c r="AA185" i="3"/>
  <c r="V185" i="3"/>
  <c r="X185" i="3"/>
  <c r="Z185" i="3"/>
  <c r="AB185" i="3"/>
  <c r="O185" i="3"/>
  <c r="N185" i="3"/>
  <c r="V198" i="3"/>
  <c r="X198" i="3"/>
  <c r="Z198" i="3"/>
  <c r="AB198" i="3"/>
  <c r="Y198" i="3"/>
  <c r="W198" i="3"/>
  <c r="AA198" i="3"/>
  <c r="O198" i="3"/>
  <c r="N198" i="3"/>
  <c r="N176" i="3"/>
  <c r="V176" i="3"/>
  <c r="X176" i="3"/>
  <c r="Z176" i="3"/>
  <c r="AB176" i="3"/>
  <c r="W176" i="3"/>
  <c r="Y176" i="3"/>
  <c r="AA176" i="3"/>
  <c r="O176" i="3"/>
  <c r="Q176" i="3" s="1"/>
  <c r="N179" i="3"/>
  <c r="V179" i="3"/>
  <c r="X179" i="3"/>
  <c r="Z179" i="3"/>
  <c r="AB179" i="3"/>
  <c r="W179" i="3"/>
  <c r="Y179" i="3"/>
  <c r="AA179" i="3"/>
  <c r="O179" i="3"/>
  <c r="Q179" i="3" s="1"/>
  <c r="R220" i="3"/>
  <c r="R216" i="3"/>
  <c r="R234" i="3"/>
  <c r="R230" i="3"/>
  <c r="R226" i="3"/>
  <c r="R244" i="3"/>
  <c r="R240" i="3"/>
  <c r="R233" i="3"/>
  <c r="R229" i="3"/>
  <c r="R225" i="3"/>
  <c r="N178" i="3"/>
  <c r="W178" i="3"/>
  <c r="Y178" i="3"/>
  <c r="AA178" i="3"/>
  <c r="V178" i="3"/>
  <c r="X178" i="3"/>
  <c r="Z178" i="3"/>
  <c r="AB178" i="3"/>
  <c r="O178" i="3"/>
  <c r="Q178" i="3" s="1"/>
  <c r="N180" i="3"/>
  <c r="W180" i="3"/>
  <c r="Y180" i="3"/>
  <c r="AA180" i="3"/>
  <c r="V180" i="3"/>
  <c r="X180" i="3"/>
  <c r="Z180" i="3"/>
  <c r="AB180" i="3"/>
  <c r="O180" i="3"/>
  <c r="Q180" i="3" s="1"/>
  <c r="Q199" i="3"/>
  <c r="Q204" i="3"/>
  <c r="Q192" i="3"/>
  <c r="Q191" i="3"/>
  <c r="Q183" i="3"/>
  <c r="Q197" i="3"/>
  <c r="Q185" i="3"/>
  <c r="Q207" i="3"/>
  <c r="Q206" i="3"/>
  <c r="Q194" i="3"/>
  <c r="Q205" i="3"/>
  <c r="Q208" i="3"/>
  <c r="Q200" i="3"/>
  <c r="Q190" i="3"/>
  <c r="Q189" i="3"/>
  <c r="Q203" i="3"/>
  <c r="Q196" i="3"/>
  <c r="Q186" i="3"/>
  <c r="Q195" i="3"/>
  <c r="Q184" i="3"/>
  <c r="Q193" i="3"/>
  <c r="Q198" i="3"/>
  <c r="O5" i="3"/>
  <c r="S42" i="3"/>
  <c r="S43" i="3"/>
  <c r="R44" i="3"/>
  <c r="O44" i="3"/>
  <c r="Q44" i="3"/>
  <c r="F262" i="3"/>
  <c r="F263" i="3" s="1"/>
  <c r="E263" i="3" s="1"/>
  <c r="C263" i="3" s="1"/>
  <c r="F250" i="3"/>
  <c r="F251" i="3" s="1"/>
  <c r="E251" i="3" s="1"/>
  <c r="C251" i="3" s="1"/>
  <c r="F265" i="3"/>
  <c r="F266" i="3" s="1"/>
  <c r="E266" i="3" s="1"/>
  <c r="C266" i="3" s="1"/>
  <c r="F259" i="3"/>
  <c r="F260" i="3" s="1"/>
  <c r="E260" i="3" s="1"/>
  <c r="C260" i="3" s="1"/>
  <c r="F256" i="3"/>
  <c r="F257" i="3" s="1"/>
  <c r="E257" i="3" s="1"/>
  <c r="C257" i="3" s="1"/>
  <c r="C187" i="3"/>
  <c r="F253" i="3"/>
  <c r="Q30" i="3"/>
  <c r="O30" i="3"/>
  <c r="R30" i="3"/>
  <c r="R27" i="3"/>
  <c r="Q27" i="3"/>
  <c r="O27" i="3"/>
  <c r="O33" i="3"/>
  <c r="R33" i="3"/>
  <c r="Q33" i="3"/>
  <c r="O39" i="3"/>
  <c r="R39" i="3"/>
  <c r="Q39" i="3"/>
  <c r="Q36" i="3"/>
  <c r="O36" i="3"/>
  <c r="R36" i="3"/>
  <c r="W187" i="3" l="1"/>
  <c r="Y187" i="3"/>
  <c r="AA187" i="3"/>
  <c r="V187" i="3"/>
  <c r="Z187" i="3"/>
  <c r="X187" i="3"/>
  <c r="AB187" i="3"/>
  <c r="O187" i="3"/>
  <c r="Q187" i="3" s="1"/>
  <c r="N187" i="3"/>
  <c r="R178" i="3"/>
  <c r="R176" i="3"/>
  <c r="R212" i="3"/>
  <c r="R180" i="3"/>
  <c r="R179" i="3"/>
  <c r="E236" i="3"/>
  <c r="E224" i="3"/>
  <c r="R198" i="3"/>
  <c r="R193" i="3"/>
  <c r="R203" i="3"/>
  <c r="R190" i="3"/>
  <c r="R194" i="3"/>
  <c r="R207" i="3"/>
  <c r="R197" i="3"/>
  <c r="R192" i="3"/>
  <c r="R201" i="3"/>
  <c r="R209" i="3"/>
  <c r="R210" i="3"/>
  <c r="R183" i="3"/>
  <c r="R182" i="3"/>
  <c r="R181" i="3"/>
  <c r="R186" i="3"/>
  <c r="R200" i="3"/>
  <c r="R185" i="3"/>
  <c r="R204" i="3"/>
  <c r="R195" i="3"/>
  <c r="R208" i="3"/>
  <c r="R205" i="3"/>
  <c r="R206" i="3"/>
  <c r="R184" i="3"/>
  <c r="R202" i="3"/>
  <c r="R189" i="3"/>
  <c r="R188" i="3"/>
  <c r="R196" i="3"/>
  <c r="R191" i="3"/>
  <c r="R199" i="3"/>
  <c r="S44" i="3"/>
  <c r="E250" i="3"/>
  <c r="C250" i="3" s="1"/>
  <c r="E262" i="3"/>
  <c r="C262" i="3" s="1"/>
  <c r="E259" i="3"/>
  <c r="C259" i="3" s="1"/>
  <c r="E265" i="3"/>
  <c r="C265" i="3" s="1"/>
  <c r="E256" i="3"/>
  <c r="C256" i="3" s="1"/>
  <c r="F254" i="3"/>
  <c r="E254" i="3" s="1"/>
  <c r="C254" i="3" s="1"/>
  <c r="E253" i="3"/>
  <c r="C253" i="3" s="1"/>
  <c r="S33" i="3"/>
  <c r="T33" i="3" s="1"/>
  <c r="S27" i="3"/>
  <c r="T27" i="3" s="1"/>
  <c r="S30" i="3"/>
  <c r="T30" i="3" s="1"/>
  <c r="Q24" i="3"/>
  <c r="R24" i="3"/>
  <c r="S36" i="3"/>
  <c r="T36" i="3" s="1"/>
  <c r="T42" i="3"/>
  <c r="S39" i="3"/>
  <c r="T39" i="3" s="1"/>
  <c r="O24" i="3"/>
  <c r="C224" i="3" l="1"/>
  <c r="P224" i="3"/>
  <c r="C236" i="3"/>
  <c r="P236" i="3"/>
  <c r="R187" i="3"/>
  <c r="S24" i="3"/>
  <c r="T24" i="3" s="1"/>
  <c r="T43" i="3"/>
  <c r="Q8" i="3"/>
  <c r="R8" i="3"/>
  <c r="O8" i="3"/>
  <c r="Q11" i="3"/>
  <c r="O11" i="3"/>
  <c r="R11" i="3"/>
  <c r="R14" i="3"/>
  <c r="Q14" i="3"/>
  <c r="O14" i="3"/>
  <c r="Q17" i="3"/>
  <c r="O17" i="3"/>
  <c r="R17" i="3"/>
  <c r="R20" i="3"/>
  <c r="O20" i="3"/>
  <c r="Q20" i="3"/>
  <c r="C12" i="4"/>
  <c r="C11" i="4"/>
  <c r="C10" i="4"/>
  <c r="C6" i="4"/>
  <c r="C5" i="4"/>
  <c r="C4" i="4"/>
  <c r="C3" i="4"/>
  <c r="V236" i="3" l="1"/>
  <c r="W236" i="3"/>
  <c r="Y236" i="3"/>
  <c r="AA236" i="3"/>
  <c r="X236" i="3"/>
  <c r="AB236" i="3"/>
  <c r="Z236" i="3"/>
  <c r="O236" i="3"/>
  <c r="Q236" i="3" s="1"/>
  <c r="R236" i="3" s="1"/>
  <c r="N236" i="3"/>
  <c r="V224" i="3"/>
  <c r="V248" i="3" s="1"/>
  <c r="X224" i="3"/>
  <c r="X248" i="3" s="1"/>
  <c r="Z224" i="3"/>
  <c r="Z248" i="3" s="1"/>
  <c r="AB224" i="3"/>
  <c r="W224" i="3"/>
  <c r="W248" i="3" s="1"/>
  <c r="AA224" i="3"/>
  <c r="Y224" i="3"/>
  <c r="Y248" i="3" s="1"/>
  <c r="O224" i="3"/>
  <c r="Q224" i="3" s="1"/>
  <c r="N224" i="3"/>
  <c r="N248" i="3" s="1"/>
  <c r="R37" i="3"/>
  <c r="Q37" i="3"/>
  <c r="O37" i="3"/>
  <c r="R31" i="3"/>
  <c r="O31" i="3"/>
  <c r="Q31" i="3"/>
  <c r="R34" i="3"/>
  <c r="O34" i="3"/>
  <c r="Q34" i="3"/>
  <c r="Q28" i="3"/>
  <c r="R28" i="3"/>
  <c r="O28" i="3"/>
  <c r="R40" i="3"/>
  <c r="Q40" i="3"/>
  <c r="O40" i="3"/>
  <c r="T44" i="3"/>
  <c r="S17" i="3"/>
  <c r="T17" i="3" s="1"/>
  <c r="S20" i="3"/>
  <c r="T20" i="3" s="1"/>
  <c r="C149" i="3"/>
  <c r="R5" i="3"/>
  <c r="O15" i="3"/>
  <c r="R15" i="3"/>
  <c r="Q15" i="3"/>
  <c r="R18" i="3"/>
  <c r="Q18" i="3"/>
  <c r="O18" i="3"/>
  <c r="Q9" i="3"/>
  <c r="O9" i="3"/>
  <c r="R9" i="3"/>
  <c r="O21" i="3"/>
  <c r="R21" i="3"/>
  <c r="Q21" i="3"/>
  <c r="S8" i="3"/>
  <c r="T8" i="3" s="1"/>
  <c r="O12" i="3"/>
  <c r="R12" i="3"/>
  <c r="Q12" i="3"/>
  <c r="S14" i="3"/>
  <c r="T14" i="3" s="1"/>
  <c r="S11" i="3"/>
  <c r="T11" i="3" s="1"/>
  <c r="R224" i="3" l="1"/>
  <c r="AA248" i="3"/>
  <c r="AB248" i="3"/>
  <c r="S40" i="3"/>
  <c r="T40" i="3" s="1"/>
  <c r="S37" i="3"/>
  <c r="T37" i="3" s="1"/>
  <c r="S31" i="3"/>
  <c r="T31" i="3" s="1"/>
  <c r="R25" i="3"/>
  <c r="O25" i="3"/>
  <c r="Q25" i="3"/>
  <c r="R32" i="3"/>
  <c r="Q32" i="3"/>
  <c r="O32" i="3"/>
  <c r="R41" i="3"/>
  <c r="O41" i="3"/>
  <c r="Q41" i="3"/>
  <c r="O29" i="3"/>
  <c r="Q29" i="3"/>
  <c r="R29" i="3"/>
  <c r="Q38" i="3"/>
  <c r="O38" i="3"/>
  <c r="R38" i="3"/>
  <c r="Q35" i="3"/>
  <c r="O35" i="3"/>
  <c r="R35" i="3"/>
  <c r="S28" i="3"/>
  <c r="T28" i="3" s="1"/>
  <c r="S34" i="3"/>
  <c r="T34" i="3" s="1"/>
  <c r="S15" i="3"/>
  <c r="T15" i="3" s="1"/>
  <c r="S21" i="3"/>
  <c r="T21" i="3" s="1"/>
  <c r="S18" i="3"/>
  <c r="T18" i="3" s="1"/>
  <c r="S9" i="3"/>
  <c r="T9" i="3" s="1"/>
  <c r="S12" i="3"/>
  <c r="T12" i="3" s="1"/>
  <c r="Q22" i="3"/>
  <c r="R22" i="3"/>
  <c r="O22" i="3"/>
  <c r="R10" i="3"/>
  <c r="O10" i="3"/>
  <c r="Q10" i="3"/>
  <c r="S5" i="3"/>
  <c r="T5" i="3" s="1"/>
  <c r="Q19" i="3"/>
  <c r="O19" i="3"/>
  <c r="R19" i="3"/>
  <c r="R16" i="3"/>
  <c r="O16" i="3"/>
  <c r="Q16" i="3"/>
  <c r="Q6" i="3"/>
  <c r="R6" i="3"/>
  <c r="O6" i="3"/>
  <c r="Q13" i="3"/>
  <c r="R13" i="3"/>
  <c r="O13" i="3"/>
  <c r="I14" i="5"/>
  <c r="S25" i="3" l="1"/>
  <c r="T25" i="3" s="1"/>
  <c r="S29" i="3"/>
  <c r="T29" i="3" s="1"/>
  <c r="O26" i="3"/>
  <c r="R26" i="3"/>
  <c r="Q26" i="3"/>
  <c r="S35" i="3"/>
  <c r="T35" i="3" s="1"/>
  <c r="S38" i="3"/>
  <c r="T38" i="3" s="1"/>
  <c r="S41" i="3"/>
  <c r="T41" i="3" s="1"/>
  <c r="S32" i="3"/>
  <c r="T32" i="3" s="1"/>
  <c r="E275" i="3"/>
  <c r="J275" i="3"/>
  <c r="I275" i="3"/>
  <c r="K275" i="3"/>
  <c r="C275" i="3"/>
  <c r="H275" i="3"/>
  <c r="G275" i="3"/>
  <c r="F275" i="3"/>
  <c r="S13" i="3"/>
  <c r="T13" i="3" s="1"/>
  <c r="S10" i="3"/>
  <c r="T10" i="3" s="1"/>
  <c r="S16" i="3"/>
  <c r="T16" i="3" s="1"/>
  <c r="S22" i="3"/>
  <c r="T22" i="3" s="1"/>
  <c r="S6" i="3"/>
  <c r="T6" i="3" s="1"/>
  <c r="S19" i="3"/>
  <c r="T19" i="3" s="1"/>
  <c r="R7" i="3"/>
  <c r="Q7" i="3"/>
  <c r="O7" i="3"/>
  <c r="E156" i="3"/>
  <c r="S26" i="3" l="1"/>
  <c r="T26" i="3" s="1"/>
  <c r="G273" i="3"/>
  <c r="E273" i="3"/>
  <c r="K273" i="3"/>
  <c r="C273" i="3"/>
  <c r="I273" i="3"/>
  <c r="F273" i="3"/>
  <c r="H273" i="3"/>
  <c r="J273" i="3"/>
  <c r="F272" i="3"/>
  <c r="E272" i="3"/>
  <c r="J272" i="3"/>
  <c r="I272" i="3"/>
  <c r="G272" i="3"/>
  <c r="C272" i="3"/>
  <c r="K272" i="3"/>
  <c r="H272" i="3"/>
  <c r="F276" i="3"/>
  <c r="G276" i="3"/>
  <c r="J276" i="3"/>
  <c r="E276" i="3"/>
  <c r="C276" i="3"/>
  <c r="I276" i="3"/>
  <c r="H276" i="3"/>
  <c r="K276" i="3"/>
  <c r="H274" i="3"/>
  <c r="G274" i="3"/>
  <c r="E274" i="3"/>
  <c r="K274" i="3"/>
  <c r="I274" i="3"/>
  <c r="C274" i="3"/>
  <c r="F274" i="3"/>
  <c r="J274" i="3"/>
  <c r="E271" i="3"/>
  <c r="F271" i="3"/>
  <c r="I271" i="3"/>
  <c r="J271" i="3"/>
  <c r="C271" i="3"/>
  <c r="G271" i="3"/>
  <c r="K271" i="3"/>
  <c r="H271" i="3"/>
  <c r="I270" i="3"/>
  <c r="H270" i="3"/>
  <c r="J270" i="3"/>
  <c r="F270" i="3"/>
  <c r="C270" i="3"/>
  <c r="G270" i="3"/>
  <c r="K270" i="3"/>
  <c r="S7" i="3"/>
  <c r="O23" i="3"/>
  <c r="N10" i="5"/>
  <c r="J10" i="5" l="1"/>
  <c r="C162" i="3" l="1"/>
  <c r="C175" i="3"/>
  <c r="W175" i="3" l="1"/>
  <c r="Y175" i="3"/>
  <c r="AA175" i="3"/>
  <c r="V175" i="3"/>
  <c r="X175" i="3"/>
  <c r="Z175" i="3"/>
  <c r="AB175" i="3"/>
  <c r="E269" i="3"/>
  <c r="O175" i="3"/>
  <c r="Q175" i="3" s="1"/>
  <c r="C269" i="3"/>
  <c r="C288" i="3" s="1"/>
  <c r="N175" i="3"/>
  <c r="E288" i="3"/>
  <c r="F269" i="3"/>
  <c r="F288" i="3" s="1"/>
  <c r="F150" i="3"/>
  <c r="G150" i="3"/>
  <c r="H150" i="3"/>
  <c r="I150" i="3"/>
  <c r="J150" i="3"/>
  <c r="E150" i="3"/>
  <c r="F149" i="3"/>
  <c r="G149" i="3"/>
  <c r="I149" i="3"/>
  <c r="J149" i="3"/>
  <c r="AA4" i="5"/>
  <c r="K150" i="3" s="1"/>
  <c r="AB5" i="5"/>
  <c r="Z5" i="5"/>
  <c r="Y5" i="5"/>
  <c r="X5" i="5"/>
  <c r="W5" i="5"/>
  <c r="V5" i="5"/>
  <c r="U5" i="5"/>
  <c r="AA7" i="5"/>
  <c r="AA6" i="5"/>
  <c r="AA5" i="5" s="1"/>
  <c r="AA8" i="5"/>
  <c r="R175" i="3" l="1"/>
  <c r="K149" i="3"/>
  <c r="C150" i="3"/>
  <c r="P5" i="5" l="1"/>
  <c r="P4" i="5"/>
  <c r="N5" i="5"/>
  <c r="N4" i="5"/>
  <c r="L5" i="5"/>
  <c r="L4" i="5"/>
  <c r="J5" i="5"/>
  <c r="J4" i="5"/>
  <c r="E157" i="3" l="1"/>
  <c r="E158" i="3"/>
  <c r="E159" i="3"/>
  <c r="I269" i="3" l="1"/>
  <c r="I288" i="3" s="1"/>
  <c r="J269" i="3"/>
  <c r="J288" i="3" s="1"/>
  <c r="G269" i="3"/>
  <c r="G288" i="3" s="1"/>
  <c r="K269" i="3"/>
  <c r="K288" i="3" s="1"/>
  <c r="H269" i="3"/>
  <c r="H288" i="3" s="1"/>
  <c r="F162" i="3"/>
  <c r="J162" i="3"/>
  <c r="H162" i="3"/>
  <c r="E162" i="3"/>
  <c r="I162" i="3"/>
  <c r="G162" i="3"/>
  <c r="K162" i="3"/>
  <c r="C177" i="3"/>
  <c r="O177" i="3" s="1"/>
  <c r="P177" i="3"/>
  <c r="Q177" i="3" l="1"/>
  <c r="W177" i="3"/>
  <c r="W211" i="3" s="1"/>
  <c r="AB177" i="3"/>
  <c r="AB211" i="3" s="1"/>
  <c r="Z177" i="3"/>
  <c r="Z211" i="3" s="1"/>
  <c r="X177" i="3"/>
  <c r="X211" i="3" s="1"/>
  <c r="N177" i="3"/>
  <c r="V177" i="3"/>
  <c r="V211" i="3" s="1"/>
  <c r="AA177" i="3"/>
  <c r="AA211" i="3" s="1"/>
  <c r="Y177" i="3"/>
  <c r="Y211" i="3" s="1"/>
  <c r="R177" i="3" l="1"/>
  <c r="N211" i="3"/>
</calcChain>
</file>

<file path=xl/comments1.xml><?xml version="1.0" encoding="utf-8"?>
<comments xmlns="http://schemas.openxmlformats.org/spreadsheetml/2006/main">
  <authors>
    <author>MRV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>Debería llenarse de forma automática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>Debería lsalir de forma automática luego de haberse seleccionado el tipo de cocina.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Esto debería ser automático luego de insertarse la fecha de instalación.</t>
        </r>
      </text>
    </comment>
    <comment ref="F24" authorId="0" shapeId="0">
      <text>
        <r>
          <rPr>
            <sz val="9"/>
            <color indexed="81"/>
            <rFont val="Tahoma"/>
            <family val="2"/>
          </rPr>
          <t>A partir del segundo año se suman las cocinas de años anteriores</t>
        </r>
      </text>
    </comment>
    <comment ref="E84" authorId="0" shapeId="0">
      <text>
        <r>
          <rPr>
            <sz val="9"/>
            <color indexed="81"/>
            <rFont val="Tahoma"/>
            <family val="2"/>
          </rPr>
          <t>Estos valores deberían cargarse automaticamente luego de selección de la tecnología.</t>
        </r>
      </text>
    </comment>
    <comment ref="C165" authorId="0" shapeId="0">
      <text>
        <r>
          <rPr>
            <sz val="9"/>
            <color indexed="81"/>
            <rFont val="Tahoma"/>
            <family val="2"/>
          </rPr>
          <t>Debería llenarse de forma automática</t>
        </r>
      </text>
    </comment>
    <comment ref="E165" authorId="0" shapeId="0">
      <text>
        <r>
          <rPr>
            <sz val="9"/>
            <color indexed="81"/>
            <rFont val="Tahoma"/>
            <family val="2"/>
          </rPr>
          <t>Debería lsalir de forma automática luego de haberse seleccionado el tipo de cocina.</t>
        </r>
      </text>
    </comment>
    <comment ref="J165" authorId="0" shapeId="0">
      <text>
        <r>
          <rPr>
            <sz val="9"/>
            <color indexed="81"/>
            <rFont val="Tahoma"/>
            <family val="2"/>
          </rPr>
          <t>Esto debería ser automático luego de insertarse la fecha de instalación.</t>
        </r>
      </text>
    </comment>
    <comment ref="C173" authorId="0" shapeId="0">
      <text>
        <r>
          <rPr>
            <sz val="9"/>
            <color indexed="81"/>
            <rFont val="Tahoma"/>
            <family val="2"/>
          </rPr>
          <t>Se debe llenar de modo automático</t>
        </r>
      </text>
    </comment>
  </commentList>
</comments>
</file>

<file path=xl/sharedStrings.xml><?xml version="1.0" encoding="utf-8"?>
<sst xmlns="http://schemas.openxmlformats.org/spreadsheetml/2006/main" count="1668" uniqueCount="275">
  <si>
    <t xml:space="preserve">2.1. </t>
  </si>
  <si>
    <t>Medida de Cocción limpia (ámbito rural)</t>
  </si>
  <si>
    <t>Medida</t>
  </si>
  <si>
    <t>Finalidad</t>
  </si>
  <si>
    <t>Indicadores</t>
  </si>
  <si>
    <t>Fuente (s)</t>
  </si>
  <si>
    <t>Cocción limpia</t>
  </si>
  <si>
    <r>
      <t xml:space="preserve">Se enfoca en la reducción de las emisiones de gases de efecto invernadero (GEI) generadas por la cocción y calentamiento de alimentos a través del uso de cocinas o tecnologías convencionales (fogón abierto) poco eficientes en el ámbito rural. Incluye: </t>
    </r>
    <r>
      <rPr>
        <b/>
        <sz val="11"/>
        <color theme="1"/>
        <rFont val="Calibri"/>
        <family val="2"/>
        <scheme val="minor"/>
      </rPr>
      <t>cocinas mejoradas y a gas licuado de petróleo (GLP).</t>
    </r>
  </si>
  <si>
    <t>Número de cocinas, combustible por cocina, vales GLP, biomasa no renovable</t>
  </si>
  <si>
    <t>FONCODES, FISE</t>
  </si>
  <si>
    <t>Implementación y sostenibilidad de tecnologías de cocción limpia (cocinas mejoradas y cocinas a gas licuado de petróleos) en zonas rurales, reemplazando aquellas cocinas o tecnologías convencionales (fogón abierto) poco eficientes en el ámbito rural, con lo cual se reducirá los consumos de combustibles empleados en cocinas tradicionales, tales como leña y carbón vegetal, reduciendo así emisiones de gases de efecto invernadero (GEI) y los efectos nocivos a la salud asociados a las emisiones gaseosas y del material particulado restante de la combustión.</t>
  </si>
  <si>
    <r>
      <t>Metodología</t>
    </r>
    <r>
      <rPr>
        <sz val="12"/>
        <color theme="1"/>
        <rFont val="Eras Medium ITC"/>
        <family val="2"/>
      </rPr>
      <t xml:space="preserve"> (Fogon-Mejorada)</t>
    </r>
  </si>
  <si>
    <t>Ecuación 1</t>
  </si>
  <si>
    <t>Donde:</t>
  </si>
  <si>
    <r>
      <t>Emisiones para la Línea de Base b durante el año "y" en 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</si>
  <si>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Cantidad de combustible consumido en la Línea de Base b durante un año "y" (t)</t>
  </si>
  <si>
    <r>
      <t>fNRB</t>
    </r>
    <r>
      <rPr>
        <vertAlign val="subscript"/>
        <sz val="11"/>
        <color theme="1"/>
        <rFont val="Calibri"/>
        <family val="2"/>
        <scheme val="minor"/>
      </rPr>
      <t>,y</t>
    </r>
  </si>
  <si>
    <t>Fracción de biomasa no renovable usada durante un año "y"</t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</si>
  <si>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</si>
  <si>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t>Valor Calorífico Neto del combustible (valor predeterminado del IPCC para madera: 0.015TJ/t</t>
  </si>
  <si>
    <r>
      <t>BC</t>
    </r>
    <r>
      <rPr>
        <vertAlign val="subscript"/>
        <sz val="11"/>
        <color theme="1"/>
        <rFont val="Calibri"/>
        <family val="2"/>
        <scheme val="minor"/>
      </rPr>
      <t>b,y</t>
    </r>
  </si>
  <si>
    <t>PROVEEDORES</t>
  </si>
  <si>
    <t>Diseño detallado</t>
  </si>
  <si>
    <t>Programación Tentativa Sectorial</t>
  </si>
  <si>
    <t>1. MIDIS-FONCODES
2. OSINERGMIN-FISE</t>
  </si>
  <si>
    <r>
      <t>3. Consultoría/MICROSOL (NRB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</t>
    </r>
  </si>
  <si>
    <t>3. Consultoría</t>
  </si>
  <si>
    <t>Etapa</t>
  </si>
  <si>
    <t>Información</t>
  </si>
  <si>
    <t>Fuente</t>
  </si>
  <si>
    <t>Responsable</t>
  </si>
  <si>
    <t>Frecuencia</t>
  </si>
  <si>
    <t>¿Requiere acuerdo?</t>
  </si>
  <si>
    <t>M</t>
  </si>
  <si>
    <t>Tecnologías de cocción limpia. Instaladas en programas financiados por el estado</t>
  </si>
  <si>
    <t>FONCODES Y OSINERGMIN</t>
  </si>
  <si>
    <t>DGEE</t>
  </si>
  <si>
    <t>Anual</t>
  </si>
  <si>
    <t>Vales de GLP canjeados por el financiamiento del programa FISE.</t>
  </si>
  <si>
    <t>OSINERGMIN</t>
  </si>
  <si>
    <t>Fracción de Biomasa No Renovable</t>
  </si>
  <si>
    <t>Consultoría</t>
  </si>
  <si>
    <t>06 años</t>
  </si>
  <si>
    <t>R</t>
  </si>
  <si>
    <t xml:space="preserve">DGEE </t>
  </si>
  <si>
    <t>No</t>
  </si>
  <si>
    <t>V</t>
  </si>
  <si>
    <t>Reportes generados por DGEE, procedimientos de medición, otra información de soporte</t>
  </si>
  <si>
    <t>Auditor externo</t>
  </si>
  <si>
    <t xml:space="preserve">No </t>
  </si>
  <si>
    <t>Si</t>
  </si>
  <si>
    <t>Efecto del reemplazo de cocinas tradicionales (fogon) por otras mejoradas</t>
  </si>
  <si>
    <t>DGEE en base a información de FONCODES y OSINERGMIN</t>
  </si>
  <si>
    <t>Bienal</t>
  </si>
  <si>
    <t>Cada 2 años o según lo demanden algunas autoridades o donantes</t>
  </si>
  <si>
    <t>BaU</t>
  </si>
  <si>
    <t>Mitigación</t>
  </si>
  <si>
    <t>Tipo</t>
  </si>
  <si>
    <t>Cantidad</t>
  </si>
  <si>
    <t>Año</t>
  </si>
  <si>
    <t>Fecha del registro</t>
  </si>
  <si>
    <t>Responsable del registro</t>
  </si>
  <si>
    <t>Institución</t>
  </si>
  <si>
    <t>Medio de verificación</t>
  </si>
  <si>
    <t>Número de unidades de este tipo, clase y descripción.</t>
  </si>
  <si>
    <t>Año al que corresponde el registro.</t>
  </si>
  <si>
    <t>DD/MM/AAAA en que se efectúa el registro en este formulario.</t>
  </si>
  <si>
    <t>Nombre del responsable del registro en este formulario.</t>
  </si>
  <si>
    <t>Nombre de institución que envío información</t>
  </si>
  <si>
    <t>Documento que avala los datos utilizados</t>
  </si>
  <si>
    <t>Cálculo</t>
  </si>
  <si>
    <t>Inkawasi 3 Hornillas</t>
  </si>
  <si>
    <t>Caralia</t>
  </si>
  <si>
    <t>Tres piedras</t>
  </si>
  <si>
    <r>
      <t>C</t>
    </r>
    <r>
      <rPr>
        <b/>
        <sz val="11"/>
        <rFont val="Calibri"/>
        <family val="2"/>
        <scheme val="minor"/>
      </rPr>
      <t xml:space="preserve">onsumo
</t>
    </r>
    <r>
      <rPr>
        <sz val="11"/>
        <rFont val="Arial"/>
        <family val="2"/>
      </rPr>
      <t>(t leña/SA.año)</t>
    </r>
  </si>
  <si>
    <t>Fracción de Biomasa no Renovable (fNRB)</t>
  </si>
  <si>
    <t>Methodological tool: Calculation of the fraction of non-renewable biomass (Version 02.0)</t>
  </si>
  <si>
    <t>Luis Perez</t>
  </si>
  <si>
    <t>FONCODES</t>
  </si>
  <si>
    <t>Oficio XYZ</t>
  </si>
  <si>
    <t>Combustible</t>
  </si>
  <si>
    <t>Poder calorífico</t>
  </si>
  <si>
    <t>Factor de emisión</t>
  </si>
  <si>
    <t>IPCC</t>
  </si>
  <si>
    <t>Unidad</t>
  </si>
  <si>
    <t>Estudio</t>
  </si>
  <si>
    <t>Biomasa (Madera)</t>
  </si>
  <si>
    <t>TJ/kg</t>
  </si>
  <si>
    <t>GLP</t>
  </si>
  <si>
    <t>Miembros familia</t>
  </si>
  <si>
    <t>Especificación de la fuente de cocción</t>
  </si>
  <si>
    <t>Nombre de la tecnología de cocción</t>
  </si>
  <si>
    <r>
      <t>Metodología</t>
    </r>
    <r>
      <rPr>
        <sz val="12"/>
        <color theme="1"/>
        <rFont val="Eras Medium ITC"/>
        <family val="2"/>
      </rPr>
      <t xml:space="preserve"> (Fogon-GLP)</t>
    </r>
  </si>
  <si>
    <t>Ecuación 2</t>
  </si>
  <si>
    <t>ER</t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</si>
  <si>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</si>
  <si>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b,leña,CO2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</si>
  <si>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b,leña,CH4</t>
    </r>
  </si>
  <si>
    <r>
      <t>Factor de emisión de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de la leña.</t>
    </r>
  </si>
  <si>
    <t xml:space="preserve">Factor de emisión de metano (CH4) de la leña. </t>
  </si>
  <si>
    <t xml:space="preserve">Factor de emisión de óxido nitroso (N2O) de la leña. </t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</si>
  <si>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</si>
  <si>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</si>
  <si>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Metano</t>
  </si>
  <si>
    <t>Potencial de Calentamiento Global del Óxido Nitroso</t>
  </si>
  <si>
    <t xml:space="preserve">Cantidad de combustible consumido en Proyecto p durante un año "y" </t>
  </si>
  <si>
    <r>
      <t>PC</t>
    </r>
    <r>
      <rPr>
        <vertAlign val="subscript"/>
        <sz val="11"/>
        <color theme="1"/>
        <rFont val="Calibri"/>
        <family val="2"/>
        <scheme val="minor"/>
      </rPr>
      <t>p,y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</si>
  <si>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b,leña,N2O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</si>
  <si>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b,GLP,CO2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</si>
  <si>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b,GLP,CH4</t>
    </r>
  </si>
  <si>
    <t>TJ/t</t>
  </si>
  <si>
    <r>
      <t>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/TJ</t>
    </r>
  </si>
  <si>
    <r>
      <t>tCH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/TJ</t>
    </r>
  </si>
  <si>
    <r>
      <t>tN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O/TJ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</si>
  <si>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b,leña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</si>
  <si>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b,GLP</t>
    </r>
  </si>
  <si>
    <t>Valor Calorífico Neto de la leña</t>
  </si>
  <si>
    <t>Valor Calorífico Neto del GLP</t>
  </si>
  <si>
    <t>Potencial de Calentamiento Global</t>
  </si>
  <si>
    <t>GEI</t>
  </si>
  <si>
    <t>AR2</t>
  </si>
  <si>
    <t>AR4</t>
  </si>
  <si>
    <t>AR5</t>
  </si>
  <si>
    <r>
      <t>CO</t>
    </r>
    <r>
      <rPr>
        <vertAlign val="subscript"/>
        <sz val="10"/>
        <rFont val="Arial"/>
        <family val="2"/>
      </rPr>
      <t>2</t>
    </r>
  </si>
  <si>
    <r>
      <t>CH</t>
    </r>
    <r>
      <rPr>
        <vertAlign val="subscript"/>
        <sz val="10"/>
        <rFont val="Arial"/>
        <family val="2"/>
      </rPr>
      <t>4</t>
    </r>
  </si>
  <si>
    <r>
      <t>N</t>
    </r>
    <r>
      <rPr>
        <vertAlign val="subscript"/>
        <sz val="10"/>
        <rFont val="Arial"/>
        <family val="2"/>
      </rPr>
      <t>2</t>
    </r>
    <r>
      <rPr>
        <sz val="11"/>
        <rFont val="Calibri"/>
        <family val="2"/>
        <scheme val="minor"/>
      </rPr>
      <t>O</t>
    </r>
  </si>
  <si>
    <t>Fuente: Global Warming Potential Values - GHG Protocol</t>
  </si>
  <si>
    <t>Ratio (tradicional/GLP)</t>
  </si>
  <si>
    <r>
      <t xml:space="preserve">ER = </t>
    </r>
    <r>
      <rPr>
        <sz val="16"/>
        <color theme="1"/>
        <rFont val="Calibri"/>
        <family val="2"/>
      </rPr>
      <t>{</t>
    </r>
    <r>
      <rPr>
        <sz val="16"/>
        <color theme="1"/>
        <rFont val="Calibri"/>
        <family val="2"/>
        <scheme val="minor"/>
      </rPr>
      <t>BC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[(fNRB</t>
    </r>
    <r>
      <rPr>
        <vertAlign val="subscript"/>
        <sz val="16"/>
        <color theme="1"/>
        <rFont val="Calibri"/>
        <family val="2"/>
        <scheme val="minor"/>
      </rPr>
      <t>,y</t>
    </r>
    <r>
      <rPr>
        <sz val="16"/>
        <color theme="1"/>
        <rFont val="Calibri"/>
        <family val="2"/>
        <scheme val="minor"/>
      </rPr>
      <t xml:space="preserve"> ∙ EF</t>
    </r>
    <r>
      <rPr>
        <vertAlign val="subscript"/>
        <sz val="16"/>
        <color theme="1"/>
        <rFont val="Calibri"/>
        <family val="2"/>
        <scheme val="minor"/>
      </rPr>
      <t>b,leña,CO2</t>
    </r>
    <r>
      <rPr>
        <sz val="16"/>
        <color theme="1"/>
        <rFont val="Calibri"/>
        <family val="2"/>
        <scheme val="minor"/>
      </rPr>
      <t>) + EF</t>
    </r>
    <r>
      <rPr>
        <vertAlign val="subscript"/>
        <sz val="16"/>
        <color theme="1"/>
        <rFont val="Calibri"/>
        <family val="2"/>
        <scheme val="minor"/>
      </rPr>
      <t>b,leña,CH4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b,leña,N2O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] ∙ NCV</t>
    </r>
    <r>
      <rPr>
        <vertAlign val="subscript"/>
        <sz val="16"/>
        <color theme="1"/>
        <rFont val="Calibri"/>
        <family val="2"/>
        <scheme val="minor"/>
      </rPr>
      <t>b,leña</t>
    </r>
    <r>
      <rPr>
        <sz val="16"/>
        <color theme="1"/>
        <rFont val="Calibri"/>
        <family val="2"/>
        <scheme val="minor"/>
      </rPr>
      <t>} - {[PC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 (EF</t>
    </r>
    <r>
      <rPr>
        <vertAlign val="subscript"/>
        <sz val="16"/>
        <color theme="1"/>
        <rFont val="Calibri"/>
        <family val="2"/>
        <scheme val="minor"/>
      </rPr>
      <t>b,GLP,CO2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b,GLP,CH4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 EF</t>
    </r>
    <r>
      <rPr>
        <vertAlign val="subscript"/>
        <sz val="16"/>
        <color theme="1"/>
        <rFont val="Calibri"/>
        <family val="2"/>
        <scheme val="minor"/>
      </rPr>
      <t>b,GLP,N2O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)]∙ NCV</t>
    </r>
    <r>
      <rPr>
        <vertAlign val="subscript"/>
        <sz val="16"/>
        <color theme="1"/>
        <rFont val="Calibri"/>
        <family val="2"/>
        <scheme val="minor"/>
      </rPr>
      <t>b,GLP</t>
    </r>
    <r>
      <rPr>
        <sz val="16"/>
        <color theme="1"/>
        <rFont val="Calibri"/>
        <family val="2"/>
        <scheme val="minor"/>
      </rPr>
      <t>} ∙ CI</t>
    </r>
  </si>
  <si>
    <t>CI</t>
  </si>
  <si>
    <t>Cocinas instaladas</t>
  </si>
  <si>
    <t>Costa</t>
  </si>
  <si>
    <t>Sierra</t>
  </si>
  <si>
    <t>Selva</t>
  </si>
  <si>
    <t>Región</t>
  </si>
  <si>
    <t>Conservador</t>
  </si>
  <si>
    <t>Cálculo 1</t>
  </si>
  <si>
    <t>Cálculo 2</t>
  </si>
  <si>
    <t>oficio XYY</t>
  </si>
  <si>
    <t>Variable propia de cada tipo de cocina</t>
  </si>
  <si>
    <t>Industrias de la manufactura y construcción: 1A4b (Residencial)</t>
  </si>
  <si>
    <t>Gas/contaminante</t>
  </si>
  <si>
    <r>
      <t xml:space="preserve">CO
</t>
    </r>
    <r>
      <rPr>
        <sz val="11"/>
        <color theme="1"/>
        <rFont val="Calibri"/>
        <family val="2"/>
        <scheme val="minor"/>
      </rPr>
      <t>(g/GJ)</t>
    </r>
  </si>
  <si>
    <r>
      <t>NOx</t>
    </r>
    <r>
      <rPr>
        <b/>
        <vertAlign val="subscript"/>
        <sz val="10"/>
        <color theme="1"/>
        <rFont val="Arial"/>
        <family val="2"/>
      </rPr>
      <t xml:space="preserve">
</t>
    </r>
    <r>
      <rPr>
        <sz val="11"/>
        <color theme="1"/>
        <rFont val="Calibri"/>
        <family val="2"/>
        <scheme val="minor"/>
      </rPr>
      <t>(g/GJ)</t>
    </r>
  </si>
  <si>
    <r>
      <t xml:space="preserve">COVDM
</t>
    </r>
    <r>
      <rPr>
        <sz val="11"/>
        <color theme="1"/>
        <rFont val="Calibri"/>
        <family val="2"/>
        <scheme val="minor"/>
      </rPr>
      <t>(g/GJ)</t>
    </r>
  </si>
  <si>
    <r>
      <t>SO</t>
    </r>
    <r>
      <rPr>
        <b/>
        <vertAlign val="subscript"/>
        <sz val="10"/>
        <color theme="1"/>
        <rFont val="Arial"/>
        <family val="2"/>
      </rPr>
      <t xml:space="preserve">X
</t>
    </r>
    <r>
      <rPr>
        <sz val="11"/>
        <color theme="1"/>
        <rFont val="Calibri"/>
        <family val="2"/>
        <scheme val="minor"/>
      </rPr>
      <t>(g/GJ)</t>
    </r>
  </si>
  <si>
    <r>
      <t>PM</t>
    </r>
    <r>
      <rPr>
        <b/>
        <vertAlign val="subscript"/>
        <sz val="10"/>
        <color theme="1"/>
        <rFont val="Arial"/>
        <family val="2"/>
      </rPr>
      <t xml:space="preserve">10
</t>
    </r>
    <r>
      <rPr>
        <sz val="11"/>
        <color theme="1"/>
        <rFont val="Calibri"/>
        <family val="2"/>
        <scheme val="minor"/>
      </rPr>
      <t>(g/GJ)</t>
    </r>
  </si>
  <si>
    <r>
      <t>PM</t>
    </r>
    <r>
      <rPr>
        <b/>
        <vertAlign val="subscript"/>
        <sz val="10"/>
        <color theme="1"/>
        <rFont val="Arial"/>
        <family val="2"/>
      </rPr>
      <t xml:space="preserve">2.5
</t>
    </r>
    <r>
      <rPr>
        <sz val="11"/>
        <color theme="1"/>
        <rFont val="Calibri"/>
        <family val="2"/>
        <scheme val="minor"/>
      </rPr>
      <t>(g/GJ)</t>
    </r>
  </si>
  <si>
    <r>
      <t>BC</t>
    </r>
    <r>
      <rPr>
        <b/>
        <vertAlign val="subscript"/>
        <sz val="10"/>
        <color theme="1"/>
        <rFont val="Arial"/>
        <family val="2"/>
      </rPr>
      <t xml:space="preserve">
</t>
    </r>
    <r>
      <rPr>
        <sz val="11"/>
        <color theme="1"/>
        <rFont val="Calibri"/>
        <family val="2"/>
        <scheme val="minor"/>
      </rPr>
      <t>(g/GJ)</t>
    </r>
  </si>
  <si>
    <r>
      <t>BC</t>
    </r>
    <r>
      <rPr>
        <b/>
        <vertAlign val="subscript"/>
        <sz val="10"/>
        <rFont val="Arial"/>
        <family val="2"/>
      </rPr>
      <t xml:space="preserve">
</t>
    </r>
    <r>
      <rPr>
        <sz val="10"/>
        <rFont val="Arial"/>
        <family val="2"/>
      </rPr>
      <t>(%PM</t>
    </r>
    <r>
      <rPr>
        <vertAlign val="subscript"/>
        <sz val="10"/>
        <rFont val="Arial"/>
        <family val="2"/>
      </rPr>
      <t>2.5</t>
    </r>
    <r>
      <rPr>
        <sz val="10"/>
        <rFont val="Arial"/>
        <family val="2"/>
      </rPr>
      <t>)</t>
    </r>
  </si>
  <si>
    <t xml:space="preserve">EMEP/EEA air pollutant emission inventory guidebook 2016 1 - NFR 1.A.4.a.i, 1.A.4.b.i, 1.A.4.c.i, 1.A.5.a Small combustion
</t>
  </si>
  <si>
    <t>Table 3.3 Tier 1 emission factors for NFR source category 1.A.4.b, using hard coal and brown
coal</t>
  </si>
  <si>
    <t>Gas natural - Gaseous fuels</t>
  </si>
  <si>
    <t>Table 3.4 Tier 1 emission factors for NFR source category 1.A.4.b, using gaseous fuels</t>
  </si>
  <si>
    <t>Diesel - Gas oil</t>
  </si>
  <si>
    <t>Table 3.5 Tier 1 emission factors for NFR source category 1.A.4.b, using liquid fuels</t>
  </si>
  <si>
    <t>Gas Licuado de Petróleo</t>
  </si>
  <si>
    <t>Biomass - Solid biomass</t>
  </si>
  <si>
    <t>Table 3.6 Tier 1 emission factors for NFR source category 1.A.4.b, using biomass</t>
  </si>
  <si>
    <t>Carbón</t>
  </si>
  <si>
    <t>CO</t>
  </si>
  <si>
    <t>NOx</t>
  </si>
  <si>
    <t>COVDM</t>
  </si>
  <si>
    <t>BC</t>
  </si>
  <si>
    <t>t/año</t>
  </si>
  <si>
    <t>Unidades</t>
  </si>
  <si>
    <t>SOx</t>
  </si>
  <si>
    <r>
      <t>Emisiones reducidas durante el año "y" en 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</si>
  <si>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r>
      <t>ER = {(BC</t>
    </r>
    <r>
      <rPr>
        <vertAlign val="subscript"/>
        <sz val="16"/>
        <color theme="1"/>
        <rFont val="Calibri"/>
        <family val="2"/>
        <scheme val="minor"/>
      </rPr>
      <t xml:space="preserve">b,y </t>
    </r>
    <r>
      <rPr>
        <sz val="16"/>
        <color theme="1"/>
        <rFont val="Calibri"/>
        <family val="2"/>
        <scheme val="minor"/>
      </rPr>
      <t>- PC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>) ∙ [(fNRB</t>
    </r>
    <r>
      <rPr>
        <vertAlign val="subscript"/>
        <sz val="16"/>
        <color theme="1"/>
        <rFont val="Calibri"/>
        <family val="2"/>
        <scheme val="minor"/>
      </rPr>
      <t>,y</t>
    </r>
    <r>
      <rPr>
        <sz val="16"/>
        <color theme="1"/>
        <rFont val="Calibri"/>
        <family val="2"/>
        <scheme val="minor"/>
      </rPr>
      <t xml:space="preserve"> ∙ EF</t>
    </r>
    <r>
      <rPr>
        <vertAlign val="subscript"/>
        <sz val="16"/>
        <color theme="1"/>
        <rFont val="Calibri"/>
        <family val="2"/>
        <scheme val="minor"/>
      </rPr>
      <t>b,leña,CO2</t>
    </r>
    <r>
      <rPr>
        <sz val="16"/>
        <color theme="1"/>
        <rFont val="Calibri"/>
        <family val="2"/>
        <scheme val="minor"/>
      </rPr>
      <t>) + EF</t>
    </r>
    <r>
      <rPr>
        <vertAlign val="subscript"/>
        <sz val="16"/>
        <color theme="1"/>
        <rFont val="Calibri"/>
        <family val="2"/>
        <scheme val="minor"/>
      </rPr>
      <t>b,leña,CH4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b,leña,N2O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] ∙ NCV</t>
    </r>
    <r>
      <rPr>
        <vertAlign val="subscript"/>
        <sz val="16"/>
        <color theme="1"/>
        <rFont val="Calibri"/>
        <family val="2"/>
        <scheme val="minor"/>
      </rPr>
      <t>b,leña</t>
    </r>
    <r>
      <rPr>
        <sz val="16"/>
        <color theme="1"/>
        <rFont val="Calibri"/>
        <family val="2"/>
        <scheme val="minor"/>
      </rPr>
      <t>} ∙ CI</t>
    </r>
  </si>
  <si>
    <t>kg/kg</t>
  </si>
  <si>
    <t>Fuente: Directrices IPCC 2006</t>
  </si>
  <si>
    <t>https://www.ghgprotocol.org/sites/default/files/ghgp/Global-Warming-Potential-Values%20%28Feb%2016%202016%29_1.pdf</t>
  </si>
  <si>
    <t>Fuente: Calculos propios</t>
  </si>
  <si>
    <t>Factor de emisión de CO2 de GLP.</t>
  </si>
  <si>
    <t xml:space="preserve">Factor de emisión de metano (CH4) de GLP. </t>
  </si>
  <si>
    <t xml:space="preserve">Factor de emisión de óxido nitroso (N2O) de GLP. </t>
  </si>
  <si>
    <t>https://es.slideshare.net/slides_eoi/alfredo-lopez-mendiburu-acciona</t>
  </si>
  <si>
    <t>Cálculo 2012</t>
  </si>
  <si>
    <t>Cálculo 2013</t>
  </si>
  <si>
    <t>Cálculo 2014</t>
  </si>
  <si>
    <t>Cálculo 2015</t>
  </si>
  <si>
    <t>Cálculo 2016</t>
  </si>
  <si>
    <t>Cálculo 2017</t>
  </si>
  <si>
    <t>Cálculo 2018</t>
  </si>
  <si>
    <t>Cálculo 2019</t>
  </si>
  <si>
    <t>Cálculo 2020</t>
  </si>
  <si>
    <t>Cálculo 2021</t>
  </si>
  <si>
    <t>Cálculo 2022</t>
  </si>
  <si>
    <t>Cálculo 2023</t>
  </si>
  <si>
    <t>Cálculo 2024</t>
  </si>
  <si>
    <t>Cálculo 2025</t>
  </si>
  <si>
    <t>Cálculo 2026</t>
  </si>
  <si>
    <t>Cálculo 2027</t>
  </si>
  <si>
    <t>Cálculo 2028</t>
  </si>
  <si>
    <t>Cálculo 2029</t>
  </si>
  <si>
    <t>Cálculo 2030</t>
  </si>
  <si>
    <t>Acumulado</t>
  </si>
  <si>
    <t>Alfonso Córdova</t>
  </si>
  <si>
    <t>Programa</t>
  </si>
  <si>
    <t>Cocina Perú</t>
  </si>
  <si>
    <t>Mi Chacra emprendedora</t>
  </si>
  <si>
    <t xml:space="preserve">NINA </t>
  </si>
  <si>
    <t>HakuWiñay/Noa Jayatay</t>
  </si>
  <si>
    <t>50.000 Cocinas Mejoradas</t>
  </si>
  <si>
    <t>Casita caliente</t>
  </si>
  <si>
    <t>FISE</t>
  </si>
  <si>
    <t>FAS</t>
  </si>
  <si>
    <t>Otro</t>
  </si>
  <si>
    <t>Haku Wiñay (VA)</t>
  </si>
  <si>
    <t xml:space="preserve">Inkawasi Tawa </t>
  </si>
  <si>
    <t xml:space="preserve">Inkawasi Pichqa </t>
  </si>
  <si>
    <t xml:space="preserve">Mejorada Selva </t>
  </si>
  <si>
    <t>Inkawasi Sojta</t>
  </si>
  <si>
    <t>Inkawasi Plancha</t>
  </si>
  <si>
    <t>Inkawasi UK</t>
  </si>
  <si>
    <t>Fecha de instalación</t>
  </si>
  <si>
    <t>DD/MM/AAAA en que se efectúa la instalación de cocinas</t>
  </si>
  <si>
    <t>Días de funcionamiento</t>
  </si>
  <si>
    <t>Días en los que funciona la cocina durante el año en evaluación</t>
  </si>
  <si>
    <t>Emisiones de GEI que fueron reducidas</t>
  </si>
  <si>
    <t>Línea base</t>
  </si>
  <si>
    <t>Proyecto</t>
  </si>
  <si>
    <t>GEI reducido</t>
  </si>
  <si>
    <t>QC</t>
  </si>
  <si>
    <t>Total</t>
  </si>
  <si>
    <t>Región donde fueron instaladas, según departamentos, las cocinas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</si>
  <si>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</si>
  <si>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</si>
  <si>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</si>
  <si>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</si>
  <si>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</si>
  <si>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</si>
  <si>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</si>
  <si>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</si>
  <si>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</si>
  <si>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</si>
  <si>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</si>
  <si>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</si>
  <si>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Consumo de leña que requeriría una cocina de tres piedras</t>
  </si>
  <si>
    <t>Emisiones de CO que fueron reducidas</t>
  </si>
  <si>
    <t>Emisiones de NOx que fueron reducidas</t>
  </si>
  <si>
    <t>Emisiones de COVDM que fueron reducidas</t>
  </si>
  <si>
    <t>Emisiones de SOx que fueron reducidas</t>
  </si>
  <si>
    <t>Iniciativa de Mitigacion</t>
  </si>
  <si>
    <t>Linea Base Emisiones GEI (tCO2e)</t>
  </si>
  <si>
    <t>Iniciativa de Mitigación Emisiones GEI (tCO2e)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</si>
  <si>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</si>
  <si>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Año de Implementación de la Iniciativa</t>
  </si>
  <si>
    <t>Total Emisiones de Efecto Invernadero antes de la Iniciativa</t>
  </si>
  <si>
    <t>Total de Emisiones de la nueva iniciativa</t>
  </si>
  <si>
    <t>Total de Reducción de Emisiones</t>
  </si>
  <si>
    <t>Enfoque : Coccion</t>
  </si>
  <si>
    <t>Fecha de Instalación</t>
  </si>
  <si>
    <r>
      <t xml:space="preserve">Consumo
</t>
    </r>
    <r>
      <rPr>
        <sz val="10"/>
        <color theme="0"/>
        <rFont val="Arial"/>
        <family val="2"/>
      </rPr>
      <t>(t leña/SA.año)</t>
    </r>
  </si>
  <si>
    <r>
      <t>GEI reducido
(tCO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e)</t>
    </r>
  </si>
  <si>
    <r>
      <t>PM</t>
    </r>
    <r>
      <rPr>
        <b/>
        <vertAlign val="subscript"/>
        <sz val="10"/>
        <color theme="0"/>
        <rFont val="Calibri"/>
        <family val="2"/>
        <scheme val="minor"/>
      </rPr>
      <t>10</t>
    </r>
  </si>
  <si>
    <r>
      <t>PM</t>
    </r>
    <r>
      <rPr>
        <b/>
        <vertAlign val="subscript"/>
        <sz val="10"/>
        <color theme="0"/>
        <rFont val="Calibri"/>
        <family val="2"/>
        <scheme val="minor"/>
      </rPr>
      <t>2.5</t>
    </r>
  </si>
  <si>
    <r>
      <t>Emisiones de PM</t>
    </r>
    <r>
      <rPr>
        <i/>
        <vertAlign val="subscript"/>
        <sz val="10"/>
        <rFont val="Arial"/>
        <family val="2"/>
      </rPr>
      <t>2.5</t>
    </r>
    <r>
      <rPr>
        <i/>
        <sz val="10"/>
        <rFont val="Arial"/>
        <family val="2"/>
      </rPr>
      <t xml:space="preserve"> que fueron reducidas</t>
    </r>
  </si>
  <si>
    <r>
      <t>PM</t>
    </r>
    <r>
      <rPr>
        <b/>
        <vertAlign val="subscript"/>
        <sz val="10"/>
        <color theme="1"/>
        <rFont val="Calibri"/>
        <family val="2"/>
        <scheme val="minor"/>
      </rPr>
      <t>10</t>
    </r>
  </si>
  <si>
    <r>
      <t>PM</t>
    </r>
    <r>
      <rPr>
        <b/>
        <vertAlign val="subscript"/>
        <sz val="10"/>
        <color theme="1"/>
        <rFont val="Calibri"/>
        <family val="2"/>
        <scheme val="minor"/>
      </rPr>
      <t>2.5</t>
    </r>
  </si>
  <si>
    <r>
      <t>tCO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e/año</t>
    </r>
  </si>
  <si>
    <r>
      <t xml:space="preserve">Consumo
</t>
    </r>
    <r>
      <rPr>
        <sz val="10"/>
        <color theme="0"/>
        <rFont val="Arial"/>
        <family val="2"/>
      </rPr>
      <t>(t GLP/SA.año)</t>
    </r>
  </si>
  <si>
    <r>
      <t xml:space="preserve">Consumo
</t>
    </r>
    <r>
      <rPr>
        <sz val="10"/>
        <color theme="0"/>
        <rFont val="Arial"/>
        <family val="2"/>
      </rPr>
      <t>(t leña)</t>
    </r>
  </si>
  <si>
    <r>
      <t xml:space="preserve">Consumo
</t>
    </r>
    <r>
      <rPr>
        <sz val="10"/>
        <color theme="0"/>
        <rFont val="Arial"/>
        <family val="2"/>
      </rPr>
      <t>(t GLP)</t>
    </r>
  </si>
  <si>
    <r>
      <t xml:space="preserve">Número de </t>
    </r>
    <r>
      <rPr>
        <b/>
        <i/>
        <sz val="10"/>
        <rFont val="Arial"/>
        <family val="2"/>
      </rPr>
      <t>vales FISE</t>
    </r>
    <r>
      <rPr>
        <i/>
        <sz val="10"/>
        <rFont val="Arial"/>
        <family val="2"/>
      </rPr>
      <t xml:space="preserve"> emitidos en el año</t>
    </r>
  </si>
  <si>
    <r>
      <t>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e/año</t>
    </r>
  </si>
  <si>
    <t>Especificación de la fuente de cocción (linea base)</t>
  </si>
  <si>
    <t>Fuente Coccion Base</t>
  </si>
  <si>
    <t>DD/MM/AAAA en que se efectúa la instalación de cocinas (mismo año)</t>
  </si>
  <si>
    <t>Dias de funcionamiento</t>
  </si>
  <si>
    <t>Fuente Cocción  Iniciativa</t>
  </si>
  <si>
    <t>Enfoque : GLP</t>
  </si>
  <si>
    <t>Consumo (GLP)</t>
  </si>
  <si>
    <t>Consumo (leña)</t>
  </si>
  <si>
    <t>Número de vales FISE emitidos en el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</si>
</sst>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_ * #,##0_ ;_ * \-#,##0_ ;_ * &quot;-&quot;??_ ;_ @_ "/>
    <numFmt numFmtId="166" formatCode="0.0"/>
    <numFmt numFmtId="167" formatCode="_ * #,##0.0_ ;_ * \-#,##0.0_ ;_ * &quot;-&quot;??_ ;_ @_ "/>
    <numFmt numFmtId="168" formatCode="_ * #,##0.0_ ;_ * \-#,##0.0_ ;_ * &quot;-&quot;?_ ;_ @_ "/>
    <numFmt numFmtId="169" formatCode="0.0000"/>
    <numFmt numFmtId="170" formatCode="0.00000000000000000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Eras Medium ITC"/>
      <family val="2"/>
    </font>
    <font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sz val="11"/>
      <name val="Calibri"/>
      <family val="2"/>
      <scheme val="minor"/>
    </font>
    <font>
      <sz val="11"/>
      <name val="Arial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theme="0" tint="-0.249977111117893"/>
      <name val="Arial"/>
      <family val="2"/>
    </font>
    <font>
      <b/>
      <vertAlign val="subscript"/>
      <sz val="10"/>
      <color theme="1"/>
      <name val="Arial"/>
      <family val="2"/>
    </font>
    <font>
      <b/>
      <vertAlign val="subscript"/>
      <sz val="10"/>
      <name val="Arial"/>
      <family val="2"/>
    </font>
    <font>
      <u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vertAlign val="subscript"/>
      <sz val="10"/>
      <color theme="0"/>
      <name val="Arial"/>
      <family val="2"/>
    </font>
    <font>
      <b/>
      <vertAlign val="subscript"/>
      <sz val="10"/>
      <color theme="0"/>
      <name val="Calibri"/>
      <family val="2"/>
      <scheme val="minor"/>
    </font>
    <font>
      <i/>
      <sz val="10"/>
      <name val="Arial"/>
      <family val="2"/>
    </font>
    <font>
      <sz val="10"/>
      <color theme="2" tint="-0.249977111117893"/>
      <name val="Calibri"/>
      <family val="2"/>
      <scheme val="minor"/>
    </font>
    <font>
      <i/>
      <vertAlign val="subscript"/>
      <sz val="10"/>
      <name val="Arial"/>
      <family val="2"/>
    </font>
    <font>
      <sz val="10"/>
      <color rgb="FFFF0000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b/>
      <i/>
      <sz val="10"/>
      <name val="Arial"/>
      <family val="2"/>
    </font>
    <font>
      <sz val="10"/>
      <color theme="1" tint="4.9989318521683403E-2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D9EBCD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 style="dotted">
        <color rgb="FF003657"/>
      </top>
      <bottom/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/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9" fillId="0" borderId="0" applyNumberFormat="0" applyFill="0" applyBorder="0" applyAlignment="0" applyProtection="0"/>
  </cellStyleXfs>
  <cellXfs count="277">
    <xf numFmtId="0" fontId="0" fillId="0" borderId="0" xfId="0"/>
    <xf numFmtId="0" fontId="0" fillId="2" borderId="0" xfId="0" applyFill="1"/>
    <xf numFmtId="0" fontId="2" fillId="3" borderId="0" xfId="0" applyFont="1" applyFill="1"/>
    <xf numFmtId="0" fontId="4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center"/>
    </xf>
    <xf numFmtId="0" fontId="5" fillId="2" borderId="0" xfId="0" applyFont="1" applyFill="1"/>
    <xf numFmtId="0" fontId="4" fillId="7" borderId="0" xfId="0" applyFont="1" applyFill="1"/>
    <xf numFmtId="0" fontId="2" fillId="7" borderId="0" xfId="0" applyFont="1" applyFill="1"/>
    <xf numFmtId="0" fontId="7" fillId="2" borderId="0" xfId="0" applyFont="1" applyFill="1" applyAlignment="1">
      <alignment vertical="center"/>
    </xf>
    <xf numFmtId="0" fontId="10" fillId="2" borderId="0" xfId="0" applyFont="1" applyFill="1"/>
    <xf numFmtId="0" fontId="0" fillId="2" borderId="0" xfId="0" applyFill="1" applyAlignment="1">
      <alignment horizontal="left" vertical="top"/>
    </xf>
    <xf numFmtId="0" fontId="11" fillId="8" borderId="10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 wrapText="1"/>
    </xf>
    <xf numFmtId="0" fontId="0" fillId="2" borderId="1" xfId="0" applyFill="1" applyBorder="1"/>
    <xf numFmtId="0" fontId="16" fillId="2" borderId="0" xfId="0" applyFont="1" applyFill="1"/>
    <xf numFmtId="0" fontId="17" fillId="2" borderId="1" xfId="0" applyFont="1" applyFill="1" applyBorder="1" applyAlignment="1">
      <alignment horizontal="center"/>
    </xf>
    <xf numFmtId="165" fontId="0" fillId="2" borderId="1" xfId="1" applyNumberFormat="1" applyFont="1" applyFill="1" applyBorder="1"/>
    <xf numFmtId="0" fontId="0" fillId="2" borderId="1" xfId="0" applyFont="1" applyFill="1" applyBorder="1" applyAlignment="1">
      <alignment horizontal="justify" vertical="center" wrapText="1"/>
    </xf>
    <xf numFmtId="0" fontId="19" fillId="4" borderId="1" xfId="3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/>
    </xf>
    <xf numFmtId="0" fontId="22" fillId="2" borderId="1" xfId="0" applyFont="1" applyFill="1" applyBorder="1"/>
    <xf numFmtId="0" fontId="0" fillId="5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4" fillId="2" borderId="0" xfId="0" applyFont="1" applyFill="1"/>
    <xf numFmtId="0" fontId="25" fillId="2" borderId="0" xfId="0" applyFont="1" applyFill="1"/>
    <xf numFmtId="0" fontId="16" fillId="17" borderId="1" xfId="0" applyFont="1" applyFill="1" applyBorder="1" applyAlignment="1">
      <alignment vertical="center"/>
    </xf>
    <xf numFmtId="0" fontId="24" fillId="17" borderId="1" xfId="0" applyFont="1" applyFill="1" applyBorder="1" applyAlignment="1">
      <alignment horizontal="center" vertical="center" wrapText="1"/>
    </xf>
    <xf numFmtId="0" fontId="19" fillId="17" borderId="1" xfId="0" applyFont="1" applyFill="1" applyBorder="1" applyAlignment="1">
      <alignment horizontal="center" vertical="center" wrapText="1"/>
    </xf>
    <xf numFmtId="0" fontId="28" fillId="0" borderId="24" xfId="0" applyFont="1" applyBorder="1" applyAlignment="1"/>
    <xf numFmtId="0" fontId="0" fillId="2" borderId="0" xfId="0" applyFill="1" applyAlignment="1"/>
    <xf numFmtId="0" fontId="0" fillId="2" borderId="36" xfId="0" applyFill="1" applyBorder="1"/>
    <xf numFmtId="0" fontId="0" fillId="2" borderId="41" xfId="0" applyFill="1" applyBorder="1"/>
    <xf numFmtId="0" fontId="0" fillId="2" borderId="26" xfId="0" applyFill="1" applyBorder="1"/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31" fillId="2" borderId="0" xfId="0" applyFont="1" applyFill="1"/>
    <xf numFmtId="0" fontId="0" fillId="2" borderId="43" xfId="0" applyFill="1" applyBorder="1"/>
    <xf numFmtId="9" fontId="3" fillId="19" borderId="1" xfId="0" applyNumberFormat="1" applyFont="1" applyFill="1" applyBorder="1" applyAlignment="1">
      <alignment horizontal="center"/>
    </xf>
    <xf numFmtId="9" fontId="3" fillId="19" borderId="1" xfId="2" applyFont="1" applyFill="1" applyBorder="1" applyAlignment="1">
      <alignment horizontal="center"/>
    </xf>
    <xf numFmtId="167" fontId="0" fillId="19" borderId="9" xfId="1" applyNumberFormat="1" applyFont="1" applyFill="1" applyBorder="1" applyAlignment="1"/>
    <xf numFmtId="165" fontId="0" fillId="19" borderId="1" xfId="1" applyNumberFormat="1" applyFont="1" applyFill="1" applyBorder="1" applyAlignment="1">
      <alignment horizontal="center"/>
    </xf>
    <xf numFmtId="165" fontId="25" fillId="19" borderId="1" xfId="1" applyNumberFormat="1" applyFont="1" applyFill="1" applyBorder="1" applyAlignment="1">
      <alignment horizontal="center"/>
    </xf>
    <xf numFmtId="0" fontId="32" fillId="2" borderId="0" xfId="0" applyFont="1" applyFill="1"/>
    <xf numFmtId="0" fontId="33" fillId="2" borderId="0" xfId="0" applyFont="1" applyFill="1"/>
    <xf numFmtId="0" fontId="33" fillId="0" borderId="0" xfId="0" applyFont="1"/>
    <xf numFmtId="0" fontId="21" fillId="19" borderId="1" xfId="3" applyFont="1" applyFill="1" applyBorder="1" applyAlignment="1">
      <alignment horizontal="center" vertical="center"/>
    </xf>
    <xf numFmtId="0" fontId="19" fillId="19" borderId="1" xfId="3" applyFont="1" applyFill="1" applyBorder="1" applyAlignment="1">
      <alignment horizontal="center" vertical="center"/>
    </xf>
    <xf numFmtId="0" fontId="0" fillId="2" borderId="48" xfId="0" applyFill="1" applyBorder="1"/>
    <xf numFmtId="0" fontId="4" fillId="4" borderId="33" xfId="0" applyFont="1" applyFill="1" applyBorder="1" applyAlignment="1">
      <alignment horizontal="center" vertical="center" wrapText="1"/>
    </xf>
    <xf numFmtId="0" fontId="0" fillId="2" borderId="50" xfId="0" applyFill="1" applyBorder="1"/>
    <xf numFmtId="0" fontId="0" fillId="19" borderId="43" xfId="0" applyFill="1" applyBorder="1"/>
    <xf numFmtId="0" fontId="0" fillId="19" borderId="29" xfId="0" applyFill="1" applyBorder="1"/>
    <xf numFmtId="167" fontId="0" fillId="19" borderId="1" xfId="1" applyNumberFormat="1" applyFont="1" applyFill="1" applyBorder="1" applyAlignment="1">
      <alignment horizontal="center"/>
    </xf>
    <xf numFmtId="0" fontId="34" fillId="0" borderId="0" xfId="0" applyFont="1"/>
    <xf numFmtId="0" fontId="31" fillId="0" borderId="0" xfId="0" applyFont="1"/>
    <xf numFmtId="4" fontId="31" fillId="0" borderId="0" xfId="0" applyNumberFormat="1" applyFont="1" applyAlignment="1">
      <alignment horizontal="center"/>
    </xf>
    <xf numFmtId="169" fontId="31" fillId="0" borderId="0" xfId="0" applyNumberFormat="1" applyFont="1"/>
    <xf numFmtId="0" fontId="35" fillId="22" borderId="22" xfId="0" applyFont="1" applyFill="1" applyBorder="1"/>
    <xf numFmtId="0" fontId="35" fillId="22" borderId="51" xfId="0" applyFont="1" applyFill="1" applyBorder="1"/>
    <xf numFmtId="3" fontId="31" fillId="22" borderId="51" xfId="0" applyNumberFormat="1" applyFont="1" applyFill="1" applyBorder="1" applyAlignment="1">
      <alignment horizontal="right"/>
    </xf>
    <xf numFmtId="4" fontId="35" fillId="22" borderId="51" xfId="0" applyNumberFormat="1" applyFont="1" applyFill="1" applyBorder="1" applyAlignment="1">
      <alignment horizontal="center"/>
    </xf>
    <xf numFmtId="0" fontId="35" fillId="22" borderId="20" xfId="0" applyFont="1" applyFill="1" applyBorder="1" applyAlignment="1">
      <alignment vertical="center" wrapText="1"/>
    </xf>
    <xf numFmtId="0" fontId="34" fillId="23" borderId="20" xfId="0" applyFont="1" applyFill="1" applyBorder="1" applyAlignment="1">
      <alignment vertical="center" wrapText="1"/>
    </xf>
    <xf numFmtId="3" fontId="35" fillId="22" borderId="20" xfId="0" applyNumberFormat="1" applyFont="1" applyFill="1" applyBorder="1" applyAlignment="1">
      <alignment vertical="center" wrapText="1"/>
    </xf>
    <xf numFmtId="4" fontId="35" fillId="22" borderId="19" xfId="0" applyNumberFormat="1" applyFont="1" applyFill="1" applyBorder="1" applyAlignment="1">
      <alignment horizontal="center" vertical="center" wrapText="1"/>
    </xf>
    <xf numFmtId="0" fontId="37" fillId="25" borderId="1" xfId="0" applyFont="1" applyFill="1" applyBorder="1" applyAlignment="1">
      <alignment vertical="top" wrapText="1"/>
    </xf>
    <xf numFmtId="3" fontId="37" fillId="25" borderId="1" xfId="0" applyNumberFormat="1" applyFont="1" applyFill="1" applyBorder="1" applyAlignment="1">
      <alignment vertical="top" wrapText="1"/>
    </xf>
    <xf numFmtId="4" fontId="37" fillId="25" borderId="22" xfId="0" applyNumberFormat="1" applyFont="1" applyFill="1" applyBorder="1" applyAlignment="1">
      <alignment horizontal="center" vertical="top" wrapText="1"/>
    </xf>
    <xf numFmtId="4" fontId="37" fillId="25" borderId="1" xfId="0" applyNumberFormat="1" applyFont="1" applyFill="1" applyBorder="1" applyAlignment="1">
      <alignment horizontal="right" vertical="top" wrapText="1"/>
    </xf>
    <xf numFmtId="169" fontId="37" fillId="25" borderId="23" xfId="0" applyNumberFormat="1" applyFont="1" applyFill="1" applyBorder="1" applyAlignment="1">
      <alignment horizontal="right" vertical="top" wrapText="1"/>
    </xf>
    <xf numFmtId="4" fontId="38" fillId="25" borderId="1" xfId="0" applyNumberFormat="1" applyFont="1" applyFill="1" applyBorder="1" applyAlignment="1">
      <alignment horizontal="left" vertical="top" wrapText="1"/>
    </xf>
    <xf numFmtId="0" fontId="31" fillId="22" borderId="1" xfId="1" applyNumberFormat="1" applyFont="1" applyFill="1" applyBorder="1" applyAlignment="1">
      <alignment horizontal="center" vertical="center"/>
    </xf>
    <xf numFmtId="0" fontId="31" fillId="22" borderId="1" xfId="0" applyFont="1" applyFill="1" applyBorder="1" applyAlignment="1">
      <alignment horizontal="left" vertical="center"/>
    </xf>
    <xf numFmtId="165" fontId="31" fillId="23" borderId="1" xfId="1" applyNumberFormat="1" applyFont="1" applyFill="1" applyBorder="1" applyAlignment="1">
      <alignment horizontal="center" vertical="center"/>
    </xf>
    <xf numFmtId="3" fontId="31" fillId="22" borderId="1" xfId="1" applyNumberFormat="1" applyFont="1" applyFill="1" applyBorder="1" applyAlignment="1">
      <alignment horizontal="right" vertical="center"/>
    </xf>
    <xf numFmtId="167" fontId="31" fillId="26" borderId="1" xfId="1" applyNumberFormat="1" applyFont="1" applyFill="1" applyBorder="1" applyAlignment="1">
      <alignment horizontal="right"/>
    </xf>
    <xf numFmtId="169" fontId="31" fillId="22" borderId="1" xfId="1" applyNumberFormat="1" applyFont="1" applyFill="1" applyBorder="1" applyAlignment="1">
      <alignment horizontal="right"/>
    </xf>
    <xf numFmtId="4" fontId="31" fillId="24" borderId="1" xfId="0" applyNumberFormat="1" applyFont="1" applyFill="1" applyBorder="1"/>
    <xf numFmtId="0" fontId="31" fillId="0" borderId="0" xfId="0" applyFont="1" applyFill="1" applyBorder="1"/>
    <xf numFmtId="3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center"/>
    </xf>
    <xf numFmtId="169" fontId="31" fillId="0" borderId="0" xfId="0" applyNumberFormat="1" applyFont="1" applyFill="1" applyBorder="1" applyAlignment="1">
      <alignment horizontal="right"/>
    </xf>
    <xf numFmtId="4" fontId="34" fillId="24" borderId="1" xfId="0" applyNumberFormat="1" applyFont="1" applyFill="1" applyBorder="1"/>
    <xf numFmtId="14" fontId="31" fillId="22" borderId="1" xfId="0" applyNumberFormat="1" applyFont="1" applyFill="1" applyBorder="1" applyAlignment="1">
      <alignment horizontal="center"/>
    </xf>
    <xf numFmtId="0" fontId="31" fillId="26" borderId="1" xfId="1" applyNumberFormat="1" applyFont="1" applyFill="1" applyBorder="1" applyAlignment="1">
      <alignment horizontal="right"/>
    </xf>
    <xf numFmtId="0" fontId="39" fillId="12" borderId="19" xfId="0" applyFont="1" applyFill="1" applyBorder="1" applyAlignment="1">
      <alignment horizontal="center" vertical="center" wrapText="1"/>
    </xf>
    <xf numFmtId="0" fontId="39" fillId="12" borderId="20" xfId="0" applyFont="1" applyFill="1" applyBorder="1" applyAlignment="1">
      <alignment horizontal="center" vertical="center" wrapText="1"/>
    </xf>
    <xf numFmtId="0" fontId="39" fillId="12" borderId="1" xfId="0" applyFont="1" applyFill="1" applyBorder="1" applyAlignment="1">
      <alignment horizontal="center" vertical="center" wrapText="1"/>
    </xf>
    <xf numFmtId="0" fontId="43" fillId="13" borderId="1" xfId="0" applyFont="1" applyFill="1" applyBorder="1" applyAlignment="1">
      <alignment horizontal="left" vertical="top" wrapText="1"/>
    </xf>
    <xf numFmtId="0" fontId="43" fillId="13" borderId="21" xfId="0" applyFont="1" applyFill="1" applyBorder="1" applyAlignment="1">
      <alignment horizontal="left" vertical="top" wrapText="1"/>
    </xf>
    <xf numFmtId="0" fontId="44" fillId="2" borderId="0" xfId="0" applyFont="1" applyFill="1"/>
    <xf numFmtId="0" fontId="44" fillId="2" borderId="0" xfId="0" applyFont="1" applyFill="1" applyAlignment="1">
      <alignment horizontal="center"/>
    </xf>
    <xf numFmtId="0" fontId="33" fillId="0" borderId="1" xfId="0" applyFont="1" applyFill="1" applyBorder="1" applyAlignment="1">
      <alignment horizontal="center" vertical="center"/>
    </xf>
    <xf numFmtId="166" fontId="33" fillId="0" borderId="1" xfId="0" applyNumberFormat="1" applyFont="1" applyFill="1" applyBorder="1" applyAlignment="1">
      <alignment horizontal="center" vertical="center"/>
    </xf>
    <xf numFmtId="0" fontId="33" fillId="21" borderId="1" xfId="0" applyFont="1" applyFill="1" applyBorder="1" applyAlignment="1">
      <alignment horizontal="center" vertical="center"/>
    </xf>
    <xf numFmtId="164" fontId="43" fillId="0" borderId="1" xfId="1" applyFont="1" applyFill="1" applyBorder="1" applyAlignment="1">
      <alignment horizontal="left" vertical="top" wrapText="1"/>
    </xf>
    <xf numFmtId="165" fontId="33" fillId="21" borderId="1" xfId="1" applyNumberFormat="1" applyFont="1" applyFill="1" applyBorder="1" applyAlignment="1">
      <alignment horizontal="center" vertical="center"/>
    </xf>
    <xf numFmtId="14" fontId="33" fillId="21" borderId="1" xfId="1" applyNumberFormat="1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/>
    </xf>
    <xf numFmtId="14" fontId="33" fillId="0" borderId="1" xfId="0" applyNumberFormat="1" applyFont="1" applyFill="1" applyBorder="1" applyAlignment="1">
      <alignment horizontal="center" vertical="center"/>
    </xf>
    <xf numFmtId="165" fontId="31" fillId="2" borderId="1" xfId="1" applyNumberFormat="1" applyFont="1" applyFill="1" applyBorder="1"/>
    <xf numFmtId="165" fontId="44" fillId="2" borderId="0" xfId="0" applyNumberFormat="1" applyFont="1" applyFill="1"/>
    <xf numFmtId="165" fontId="31" fillId="2" borderId="1" xfId="0" applyNumberFormat="1" applyFont="1" applyFill="1" applyBorder="1"/>
    <xf numFmtId="165" fontId="34" fillId="2" borderId="1" xfId="1" applyNumberFormat="1" applyFont="1" applyFill="1" applyBorder="1"/>
    <xf numFmtId="165" fontId="34" fillId="2" borderId="1" xfId="0" applyNumberFormat="1" applyFont="1" applyFill="1" applyBorder="1"/>
    <xf numFmtId="164" fontId="33" fillId="21" borderId="1" xfId="1" applyNumberFormat="1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left" vertical="top" wrapText="1"/>
    </xf>
    <xf numFmtId="0" fontId="31" fillId="2" borderId="1" xfId="0" applyFont="1" applyFill="1" applyBorder="1"/>
    <xf numFmtId="0" fontId="33" fillId="2" borderId="0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1" fillId="2" borderId="0" xfId="0" applyFont="1" applyFill="1" applyBorder="1"/>
    <xf numFmtId="0" fontId="33" fillId="2" borderId="26" xfId="0" applyFont="1" applyFill="1" applyBorder="1" applyAlignment="1">
      <alignment horizontal="center" vertical="center"/>
    </xf>
    <xf numFmtId="0" fontId="24" fillId="18" borderId="37" xfId="0" applyFont="1" applyFill="1" applyBorder="1" applyAlignment="1">
      <alignment horizontal="center" vertical="center" wrapText="1"/>
    </xf>
    <xf numFmtId="0" fontId="24" fillId="18" borderId="38" xfId="0" applyFont="1" applyFill="1" applyBorder="1" applyAlignment="1">
      <alignment horizontal="center" vertical="center" wrapText="1"/>
    </xf>
    <xf numFmtId="0" fontId="34" fillId="18" borderId="38" xfId="0" applyFont="1" applyFill="1" applyBorder="1" applyAlignment="1">
      <alignment horizontal="center"/>
    </xf>
    <xf numFmtId="0" fontId="34" fillId="18" borderId="39" xfId="0" applyFont="1" applyFill="1" applyBorder="1" applyAlignment="1">
      <alignment horizontal="center"/>
    </xf>
    <xf numFmtId="0" fontId="31" fillId="2" borderId="41" xfId="0" applyFont="1" applyFill="1" applyBorder="1"/>
    <xf numFmtId="165" fontId="31" fillId="2" borderId="27" xfId="1" applyNumberFormat="1" applyFont="1" applyFill="1" applyBorder="1"/>
    <xf numFmtId="0" fontId="31" fillId="2" borderId="28" xfId="0" applyFont="1" applyFill="1" applyBorder="1"/>
    <xf numFmtId="165" fontId="31" fillId="18" borderId="27" xfId="1" applyNumberFormat="1" applyFont="1" applyFill="1" applyBorder="1"/>
    <xf numFmtId="165" fontId="31" fillId="18" borderId="31" xfId="1" applyNumberFormat="1" applyFont="1" applyFill="1" applyBorder="1"/>
    <xf numFmtId="0" fontId="31" fillId="18" borderId="28" xfId="0" applyFont="1" applyFill="1" applyBorder="1" applyAlignment="1">
      <alignment horizontal="center"/>
    </xf>
    <xf numFmtId="0" fontId="31" fillId="2" borderId="36" xfId="0" applyFont="1" applyFill="1" applyBorder="1"/>
    <xf numFmtId="165" fontId="31" fillId="2" borderId="29" xfId="1" applyNumberFormat="1" applyFont="1" applyFill="1" applyBorder="1"/>
    <xf numFmtId="0" fontId="31" fillId="2" borderId="30" xfId="0" applyFont="1" applyFill="1" applyBorder="1"/>
    <xf numFmtId="165" fontId="31" fillId="18" borderId="29" xfId="1" applyNumberFormat="1" applyFont="1" applyFill="1" applyBorder="1"/>
    <xf numFmtId="165" fontId="31" fillId="18" borderId="32" xfId="1" applyNumberFormat="1" applyFont="1" applyFill="1" applyBorder="1"/>
    <xf numFmtId="0" fontId="31" fillId="18" borderId="30" xfId="0" applyFont="1" applyFill="1" applyBorder="1" applyAlignment="1">
      <alignment horizontal="center"/>
    </xf>
    <xf numFmtId="0" fontId="24" fillId="2" borderId="35" xfId="0" applyFont="1" applyFill="1" applyBorder="1" applyAlignment="1">
      <alignment horizontal="center" vertical="center" wrapText="1"/>
    </xf>
    <xf numFmtId="0" fontId="34" fillId="2" borderId="35" xfId="0" applyFont="1" applyFill="1" applyBorder="1" applyAlignment="1">
      <alignment horizontal="center"/>
    </xf>
    <xf numFmtId="0" fontId="34" fillId="2" borderId="34" xfId="0" applyFont="1" applyFill="1" applyBorder="1"/>
    <xf numFmtId="164" fontId="31" fillId="2" borderId="40" xfId="1" applyNumberFormat="1" applyFont="1" applyFill="1" applyBorder="1"/>
    <xf numFmtId="168" fontId="31" fillId="2" borderId="0" xfId="0" applyNumberFormat="1" applyFont="1" applyFill="1"/>
    <xf numFmtId="165" fontId="33" fillId="0" borderId="1" xfId="1" applyNumberFormat="1" applyFont="1" applyFill="1" applyBorder="1" applyAlignment="1">
      <alignment horizontal="center" vertical="center"/>
    </xf>
    <xf numFmtId="165" fontId="49" fillId="21" borderId="1" xfId="1" applyNumberFormat="1" applyFont="1" applyFill="1" applyBorder="1" applyAlignment="1">
      <alignment horizontal="center" vertical="center"/>
    </xf>
    <xf numFmtId="164" fontId="31" fillId="2" borderId="1" xfId="1" applyFont="1" applyFill="1" applyBorder="1"/>
    <xf numFmtId="164" fontId="44" fillId="2" borderId="0" xfId="0" applyNumberFormat="1" applyFont="1" applyFill="1"/>
    <xf numFmtId="164" fontId="31" fillId="2" borderId="0" xfId="1" applyFont="1" applyFill="1"/>
    <xf numFmtId="0" fontId="33" fillId="0" borderId="21" xfId="0" applyFont="1" applyFill="1" applyBorder="1" applyAlignment="1">
      <alignment horizontal="center" vertical="center"/>
    </xf>
    <xf numFmtId="165" fontId="33" fillId="0" borderId="21" xfId="1" applyNumberFormat="1" applyFont="1" applyFill="1" applyBorder="1" applyAlignment="1">
      <alignment horizontal="center" vertical="center"/>
    </xf>
    <xf numFmtId="165" fontId="49" fillId="21" borderId="21" xfId="1" applyNumberFormat="1" applyFont="1" applyFill="1" applyBorder="1" applyAlignment="1">
      <alignment horizontal="center" vertical="center"/>
    </xf>
    <xf numFmtId="165" fontId="33" fillId="21" borderId="21" xfId="1" applyNumberFormat="1" applyFont="1" applyFill="1" applyBorder="1" applyAlignment="1">
      <alignment horizontal="center" vertical="center"/>
    </xf>
    <xf numFmtId="14" fontId="33" fillId="0" borderId="21" xfId="0" applyNumberFormat="1" applyFont="1" applyFill="1" applyBorder="1" applyAlignment="1">
      <alignment horizontal="center" vertical="center"/>
    </xf>
    <xf numFmtId="0" fontId="31" fillId="2" borderId="21" xfId="0" applyFont="1" applyFill="1" applyBorder="1"/>
    <xf numFmtId="164" fontId="34" fillId="2" borderId="54" xfId="0" applyNumberFormat="1" applyFont="1" applyFill="1" applyBorder="1"/>
    <xf numFmtId="164" fontId="34" fillId="2" borderId="1" xfId="0" applyNumberFormat="1" applyFont="1" applyFill="1" applyBorder="1"/>
    <xf numFmtId="0" fontId="33" fillId="0" borderId="20" xfId="0" applyFont="1" applyFill="1" applyBorder="1" applyAlignment="1">
      <alignment horizontal="center" vertical="center"/>
    </xf>
    <xf numFmtId="165" fontId="33" fillId="0" borderId="20" xfId="1" applyNumberFormat="1" applyFont="1" applyFill="1" applyBorder="1" applyAlignment="1">
      <alignment horizontal="center" vertical="center"/>
    </xf>
    <xf numFmtId="165" fontId="49" fillId="21" borderId="20" xfId="1" applyNumberFormat="1" applyFont="1" applyFill="1" applyBorder="1" applyAlignment="1">
      <alignment horizontal="center" vertical="center"/>
    </xf>
    <xf numFmtId="165" fontId="33" fillId="21" borderId="20" xfId="1" applyNumberFormat="1" applyFont="1" applyFill="1" applyBorder="1" applyAlignment="1">
      <alignment horizontal="center" vertical="center"/>
    </xf>
    <xf numFmtId="14" fontId="33" fillId="0" borderId="20" xfId="0" applyNumberFormat="1" applyFont="1" applyFill="1" applyBorder="1" applyAlignment="1">
      <alignment horizontal="center" vertical="center"/>
    </xf>
    <xf numFmtId="0" fontId="31" fillId="2" borderId="20" xfId="0" applyFont="1" applyFill="1" applyBorder="1"/>
    <xf numFmtId="0" fontId="33" fillId="20" borderId="2" xfId="0" applyFont="1" applyFill="1" applyBorder="1" applyAlignment="1">
      <alignment horizontal="center" vertical="center"/>
    </xf>
    <xf numFmtId="0" fontId="24" fillId="20" borderId="45" xfId="0" applyFont="1" applyFill="1" applyBorder="1" applyAlignment="1">
      <alignment horizontal="center" vertical="center" wrapText="1"/>
    </xf>
    <xf numFmtId="0" fontId="24" fillId="20" borderId="38" xfId="0" applyFont="1" applyFill="1" applyBorder="1" applyAlignment="1">
      <alignment horizontal="center" vertical="center" wrapText="1"/>
    </xf>
    <xf numFmtId="0" fontId="34" fillId="20" borderId="38" xfId="0" applyFont="1" applyFill="1" applyBorder="1" applyAlignment="1">
      <alignment horizontal="center"/>
    </xf>
    <xf numFmtId="0" fontId="34" fillId="20" borderId="39" xfId="0" applyFont="1" applyFill="1" applyBorder="1"/>
    <xf numFmtId="0" fontId="31" fillId="2" borderId="27" xfId="0" applyFont="1" applyFill="1" applyBorder="1"/>
    <xf numFmtId="165" fontId="31" fillId="2" borderId="31" xfId="1" applyNumberFormat="1" applyFont="1" applyFill="1" applyBorder="1"/>
    <xf numFmtId="0" fontId="31" fillId="2" borderId="31" xfId="0" applyFont="1" applyFill="1" applyBorder="1"/>
    <xf numFmtId="164" fontId="31" fillId="2" borderId="31" xfId="1" applyNumberFormat="1" applyFont="1" applyFill="1" applyBorder="1"/>
    <xf numFmtId="0" fontId="31" fillId="2" borderId="43" xfId="0" applyFont="1" applyFill="1" applyBorder="1"/>
    <xf numFmtId="164" fontId="31" fillId="2" borderId="1" xfId="1" applyNumberFormat="1" applyFont="1" applyFill="1" applyBorder="1"/>
    <xf numFmtId="0" fontId="31" fillId="2" borderId="44" xfId="0" applyFont="1" applyFill="1" applyBorder="1"/>
    <xf numFmtId="0" fontId="31" fillId="2" borderId="46" xfId="0" applyFont="1" applyFill="1" applyBorder="1"/>
    <xf numFmtId="165" fontId="31" fillId="2" borderId="21" xfId="1" applyNumberFormat="1" applyFont="1" applyFill="1" applyBorder="1"/>
    <xf numFmtId="164" fontId="31" fillId="2" borderId="21" xfId="1" applyNumberFormat="1" applyFont="1" applyFill="1" applyBorder="1"/>
    <xf numFmtId="0" fontId="31" fillId="2" borderId="47" xfId="0" applyFont="1" applyFill="1" applyBorder="1"/>
    <xf numFmtId="0" fontId="31" fillId="2" borderId="29" xfId="0" applyFont="1" applyFill="1" applyBorder="1"/>
    <xf numFmtId="0" fontId="31" fillId="2" borderId="32" xfId="0" applyFont="1" applyFill="1" applyBorder="1"/>
    <xf numFmtId="0" fontId="34" fillId="2" borderId="33" xfId="0" applyFont="1" applyFill="1" applyBorder="1"/>
    <xf numFmtId="165" fontId="34" fillId="2" borderId="35" xfId="0" applyNumberFormat="1" applyFont="1" applyFill="1" applyBorder="1"/>
    <xf numFmtId="0" fontId="34" fillId="2" borderId="35" xfId="0" applyFont="1" applyFill="1" applyBorder="1"/>
    <xf numFmtId="4" fontId="35" fillId="22" borderId="25" xfId="0" applyNumberFormat="1" applyFont="1" applyFill="1" applyBorder="1" applyAlignment="1">
      <alignment horizontal="center"/>
    </xf>
    <xf numFmtId="0" fontId="0" fillId="2" borderId="1" xfId="1" applyNumberFormat="1" applyFont="1" applyFill="1" applyBorder="1"/>
    <xf numFmtId="170" fontId="4" fillId="2" borderId="1" xfId="1" applyNumberFormat="1" applyFont="1" applyFill="1" applyBorder="1"/>
    <xf numFmtId="4" fontId="37" fillId="2" borderId="22" xfId="0" applyNumberFormat="1" applyFont="1" applyFill="1" applyBorder="1" applyAlignment="1">
      <alignment horizontal="center" vertical="top" wrapText="1"/>
    </xf>
    <xf numFmtId="0" fontId="31" fillId="2" borderId="1" xfId="0" applyNumberFormat="1" applyFont="1" applyFill="1" applyBorder="1" applyAlignment="1">
      <alignment horizontal="center"/>
    </xf>
    <xf numFmtId="4" fontId="34" fillId="2" borderId="19" xfId="0" applyNumberFormat="1" applyFont="1" applyFill="1" applyBorder="1" applyAlignment="1">
      <alignment horizontal="center" vertical="center" wrapText="1"/>
    </xf>
    <xf numFmtId="4" fontId="34" fillId="23" borderId="21" xfId="0" applyNumberFormat="1" applyFont="1" applyFill="1" applyBorder="1" applyAlignment="1">
      <alignment horizontal="center" vertical="center" wrapText="1"/>
    </xf>
    <xf numFmtId="4" fontId="34" fillId="23" borderId="20" xfId="0" applyNumberFormat="1" applyFont="1" applyFill="1" applyBorder="1" applyAlignment="1">
      <alignment horizontal="center" vertical="center" wrapText="1"/>
    </xf>
    <xf numFmtId="169" fontId="35" fillId="22" borderId="21" xfId="0" applyNumberFormat="1" applyFont="1" applyFill="1" applyBorder="1" applyAlignment="1">
      <alignment horizontal="center" vertical="center" wrapText="1"/>
    </xf>
    <xf numFmtId="169" fontId="35" fillId="22" borderId="20" xfId="0" applyNumberFormat="1" applyFont="1" applyFill="1" applyBorder="1" applyAlignment="1">
      <alignment horizontal="center" vertical="center" wrapText="1"/>
    </xf>
    <xf numFmtId="0" fontId="0" fillId="2" borderId="1" xfId="1" applyNumberFormat="1" applyFont="1" applyFill="1" applyBorder="1" applyAlignment="1">
      <alignment horizontal="center"/>
    </xf>
    <xf numFmtId="0" fontId="0" fillId="2" borderId="0" xfId="0" applyNumberFormat="1" applyFill="1"/>
    <xf numFmtId="0" fontId="4" fillId="4" borderId="34" xfId="0" applyNumberFormat="1" applyFont="1" applyFill="1" applyBorder="1" applyAlignment="1">
      <alignment horizontal="center" vertical="center" wrapText="1"/>
    </xf>
    <xf numFmtId="0" fontId="3" fillId="19" borderId="49" xfId="1" applyNumberFormat="1" applyFont="1" applyFill="1" applyBorder="1" applyAlignment="1">
      <alignment horizontal="center" vertical="center" wrapText="1"/>
    </xf>
    <xf numFmtId="0" fontId="3" fillId="19" borderId="44" xfId="1" applyNumberFormat="1" applyFont="1" applyFill="1" applyBorder="1" applyAlignment="1">
      <alignment horizontal="center" vertical="center" wrapText="1"/>
    </xf>
    <xf numFmtId="0" fontId="3" fillId="19" borderId="30" xfId="1" applyNumberFormat="1" applyFont="1" applyFill="1" applyBorder="1" applyAlignment="1">
      <alignment horizontal="center" vertical="center" wrapText="1"/>
    </xf>
    <xf numFmtId="0" fontId="3" fillId="19" borderId="26" xfId="1" applyNumberFormat="1" applyFont="1" applyFill="1" applyBorder="1"/>
    <xf numFmtId="0" fontId="0" fillId="6" borderId="2" xfId="0" applyFill="1" applyBorder="1" applyAlignment="1">
      <alignment horizontal="justify" vertical="top" wrapText="1"/>
    </xf>
    <xf numFmtId="0" fontId="0" fillId="6" borderId="3" xfId="0" applyFill="1" applyBorder="1" applyAlignment="1">
      <alignment horizontal="justify" vertical="top" wrapText="1"/>
    </xf>
    <xf numFmtId="0" fontId="0" fillId="6" borderId="4" xfId="0" applyFill="1" applyBorder="1" applyAlignment="1">
      <alignment horizontal="justify" vertical="top" wrapText="1"/>
    </xf>
    <xf numFmtId="0" fontId="0" fillId="6" borderId="5" xfId="0" applyFill="1" applyBorder="1" applyAlignment="1">
      <alignment horizontal="justify" vertical="top" wrapText="1"/>
    </xf>
    <xf numFmtId="0" fontId="0" fillId="6" borderId="0" xfId="0" applyFill="1" applyBorder="1" applyAlignment="1">
      <alignment horizontal="justify" vertical="top" wrapText="1"/>
    </xf>
    <xf numFmtId="0" fontId="0" fillId="6" borderId="6" xfId="0" applyFill="1" applyBorder="1" applyAlignment="1">
      <alignment horizontal="justify" vertical="top" wrapText="1"/>
    </xf>
    <xf numFmtId="0" fontId="0" fillId="6" borderId="7" xfId="0" applyFill="1" applyBorder="1" applyAlignment="1">
      <alignment horizontal="justify" vertical="top" wrapText="1"/>
    </xf>
    <xf numFmtId="0" fontId="0" fillId="6" borderId="8" xfId="0" applyFill="1" applyBorder="1" applyAlignment="1">
      <alignment horizontal="justify" vertical="top" wrapText="1"/>
    </xf>
    <xf numFmtId="0" fontId="0" fillId="6" borderId="9" xfId="0" applyFill="1" applyBorder="1" applyAlignment="1">
      <alignment horizontal="justify" vertical="top" wrapText="1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left" vertical="top" wrapText="1"/>
    </xf>
    <xf numFmtId="0" fontId="12" fillId="9" borderId="12" xfId="0" applyFont="1" applyFill="1" applyBorder="1" applyAlignment="1">
      <alignment horizontal="left" vertical="center" wrapText="1"/>
    </xf>
    <xf numFmtId="0" fontId="12" fillId="9" borderId="13" xfId="0" applyFont="1" applyFill="1" applyBorder="1" applyAlignment="1">
      <alignment horizontal="left" vertical="center" wrapText="1"/>
    </xf>
    <xf numFmtId="0" fontId="12" fillId="9" borderId="14" xfId="0" applyFont="1" applyFill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4" fillId="20" borderId="37" xfId="0" applyFont="1" applyFill="1" applyBorder="1" applyAlignment="1">
      <alignment horizontal="center" vertical="center"/>
    </xf>
    <xf numFmtId="0" fontId="24" fillId="20" borderId="39" xfId="0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horizontal="center"/>
    </xf>
    <xf numFmtId="0" fontId="34" fillId="10" borderId="21" xfId="0" applyFont="1" applyFill="1" applyBorder="1" applyAlignment="1">
      <alignment horizontal="center"/>
    </xf>
    <xf numFmtId="0" fontId="34" fillId="11" borderId="21" xfId="0" applyFont="1" applyFill="1" applyBorder="1" applyAlignment="1">
      <alignment horizontal="center"/>
    </xf>
    <xf numFmtId="0" fontId="24" fillId="2" borderId="33" xfId="0" applyFont="1" applyFill="1" applyBorder="1" applyAlignment="1">
      <alignment horizontal="center" vertical="center"/>
    </xf>
    <xf numFmtId="0" fontId="24" fillId="2" borderId="34" xfId="0" applyFon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/>
    </xf>
    <xf numFmtId="0" fontId="24" fillId="0" borderId="22" xfId="0" applyFont="1" applyFill="1" applyBorder="1" applyAlignment="1">
      <alignment horizontal="right" vertical="center"/>
    </xf>
    <xf numFmtId="0" fontId="24" fillId="0" borderId="51" xfId="0" applyFont="1" applyFill="1" applyBorder="1" applyAlignment="1">
      <alignment horizontal="right" vertical="center"/>
    </xf>
    <xf numFmtId="0" fontId="24" fillId="0" borderId="23" xfId="0" applyFont="1" applyFill="1" applyBorder="1" applyAlignment="1">
      <alignment horizontal="right" vertical="center"/>
    </xf>
    <xf numFmtId="14" fontId="33" fillId="0" borderId="22" xfId="0" applyNumberFormat="1" applyFont="1" applyFill="1" applyBorder="1" applyAlignment="1">
      <alignment horizontal="center" vertical="center"/>
    </xf>
    <xf numFmtId="14" fontId="33" fillId="0" borderId="51" xfId="0" applyNumberFormat="1" applyFont="1" applyFill="1" applyBorder="1" applyAlignment="1">
      <alignment horizontal="center" vertical="center"/>
    </xf>
    <xf numFmtId="14" fontId="33" fillId="0" borderId="23" xfId="0" applyNumberFormat="1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right" vertical="center"/>
    </xf>
    <xf numFmtId="0" fontId="24" fillId="0" borderId="53" xfId="0" applyFont="1" applyFill="1" applyBorder="1" applyAlignment="1">
      <alignment horizontal="right" vertical="center"/>
    </xf>
    <xf numFmtId="0" fontId="33" fillId="0" borderId="22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4" fillId="15" borderId="22" xfId="0" applyFont="1" applyFill="1" applyBorder="1" applyAlignment="1">
      <alignment horizontal="center"/>
    </xf>
    <xf numFmtId="0" fontId="4" fillId="15" borderId="23" xfId="0" applyFont="1" applyFill="1" applyBorder="1" applyAlignment="1">
      <alignment horizontal="center"/>
    </xf>
    <xf numFmtId="0" fontId="34" fillId="24" borderId="23" xfId="0" applyFont="1" applyFill="1" applyBorder="1" applyAlignment="1">
      <alignment horizontal="center" wrapText="1"/>
    </xf>
    <xf numFmtId="0" fontId="34" fillId="24" borderId="1" xfId="0" applyFont="1" applyFill="1" applyBorder="1" applyAlignment="1">
      <alignment horizontal="center" wrapText="1"/>
    </xf>
    <xf numFmtId="164" fontId="31" fillId="2" borderId="0" xfId="1" applyNumberFormat="1" applyFont="1" applyFill="1" applyBorder="1"/>
    <xf numFmtId="0" fontId="34" fillId="24" borderId="21" xfId="0" applyFont="1" applyFill="1" applyBorder="1" applyAlignment="1">
      <alignment horizontal="center" wrapText="1"/>
    </xf>
    <xf numFmtId="0" fontId="34" fillId="24" borderId="20" xfId="0" applyFont="1" applyFill="1" applyBorder="1" applyAlignment="1">
      <alignment horizontal="center" wrapText="1"/>
    </xf>
    <xf numFmtId="0" fontId="31" fillId="0" borderId="0" xfId="0" applyFont="1" applyAlignment="1">
      <alignment horizontal="right"/>
    </xf>
    <xf numFmtId="0" fontId="35" fillId="22" borderId="51" xfId="0" applyFont="1" applyFill="1" applyBorder="1" applyAlignment="1">
      <alignment horizontal="right"/>
    </xf>
    <xf numFmtId="0" fontId="35" fillId="22" borderId="20" xfId="0" applyFont="1" applyFill="1" applyBorder="1" applyAlignment="1">
      <alignment horizontal="right" vertical="center" wrapText="1"/>
    </xf>
    <xf numFmtId="0" fontId="37" fillId="25" borderId="1" xfId="0" applyFont="1" applyFill="1" applyBorder="1" applyAlignment="1">
      <alignment horizontal="right" vertical="top" wrapText="1"/>
    </xf>
    <xf numFmtId="0" fontId="31" fillId="22" borderId="1" xfId="1" applyNumberFormat="1" applyFont="1" applyFill="1" applyBorder="1" applyAlignment="1">
      <alignment horizontal="right" vertical="center"/>
    </xf>
    <xf numFmtId="167" fontId="31" fillId="0" borderId="0" xfId="0" applyNumberFormat="1" applyFont="1" applyFill="1" applyBorder="1" applyAlignment="1">
      <alignment horizontal="right"/>
    </xf>
    <xf numFmtId="0" fontId="31" fillId="22" borderId="1" xfId="0" applyFont="1" applyFill="1" applyBorder="1" applyAlignment="1">
      <alignment horizontal="right" vertical="center"/>
    </xf>
    <xf numFmtId="0" fontId="31" fillId="0" borderId="0" xfId="0" applyNumberFormat="1" applyFont="1" applyAlignment="1">
      <alignment horizontal="right"/>
    </xf>
    <xf numFmtId="0" fontId="35" fillId="22" borderId="51" xfId="0" applyNumberFormat="1" applyFont="1" applyFill="1" applyBorder="1" applyAlignment="1">
      <alignment horizontal="right"/>
    </xf>
    <xf numFmtId="0" fontId="35" fillId="22" borderId="20" xfId="0" applyNumberFormat="1" applyFont="1" applyFill="1" applyBorder="1" applyAlignment="1">
      <alignment horizontal="right" vertical="center" wrapText="1"/>
    </xf>
    <xf numFmtId="0" fontId="37" fillId="25" borderId="1" xfId="0" applyNumberFormat="1" applyFont="1" applyFill="1" applyBorder="1" applyAlignment="1">
      <alignment horizontal="right" vertical="top" wrapText="1"/>
    </xf>
    <xf numFmtId="0" fontId="31" fillId="22" borderId="1" xfId="0" applyNumberFormat="1" applyFont="1" applyFill="1" applyBorder="1" applyAlignment="1">
      <alignment horizontal="right" vertical="center"/>
    </xf>
    <xf numFmtId="0" fontId="31" fillId="0" borderId="0" xfId="0" applyNumberFormat="1" applyFont="1" applyFill="1" applyBorder="1" applyAlignment="1">
      <alignment horizontal="right"/>
    </xf>
    <xf numFmtId="0" fontId="34" fillId="23" borderId="20" xfId="0" applyNumberFormat="1" applyFont="1" applyFill="1" applyBorder="1" applyAlignment="1">
      <alignment horizontal="right" vertical="center" wrapText="1"/>
    </xf>
    <xf numFmtId="0" fontId="31" fillId="23" borderId="1" xfId="1" applyNumberFormat="1" applyFont="1" applyFill="1" applyBorder="1" applyAlignment="1">
      <alignment horizontal="right" vertical="center"/>
    </xf>
    <xf numFmtId="4" fontId="31" fillId="0" borderId="0" xfId="0" applyNumberFormat="1" applyFont="1" applyAlignment="1"/>
    <xf numFmtId="4" fontId="34" fillId="23" borderId="21" xfId="0" applyNumberFormat="1" applyFont="1" applyFill="1" applyBorder="1" applyAlignment="1">
      <alignment vertical="center" wrapText="1"/>
    </xf>
    <xf numFmtId="4" fontId="34" fillId="23" borderId="20" xfId="0" applyNumberFormat="1" applyFont="1" applyFill="1" applyBorder="1" applyAlignment="1">
      <alignment vertical="center" wrapText="1"/>
    </xf>
    <xf numFmtId="4" fontId="37" fillId="25" borderId="1" xfId="0" applyNumberFormat="1" applyFont="1" applyFill="1" applyBorder="1" applyAlignment="1">
      <alignment vertical="top" wrapText="1"/>
    </xf>
    <xf numFmtId="0" fontId="31" fillId="26" borderId="1" xfId="1" applyNumberFormat="1" applyFont="1" applyFill="1" applyBorder="1" applyAlignment="1"/>
    <xf numFmtId="167" fontId="31" fillId="26" borderId="1" xfId="1" applyNumberFormat="1" applyFont="1" applyFill="1" applyBorder="1" applyAlignment="1"/>
    <xf numFmtId="3" fontId="31" fillId="0" borderId="0" xfId="0" applyNumberFormat="1" applyFont="1" applyFill="1" applyBorder="1" applyAlignment="1"/>
    <xf numFmtId="0" fontId="35" fillId="22" borderId="51" xfId="0" applyFont="1" applyFill="1" applyBorder="1" applyAlignment="1"/>
    <xf numFmtId="0" fontId="31" fillId="22" borderId="1" xfId="1" applyNumberFormat="1" applyFont="1" applyFill="1" applyBorder="1" applyAlignment="1">
      <alignment vertical="center"/>
    </xf>
    <xf numFmtId="0" fontId="4" fillId="14" borderId="21" xfId="0" applyNumberFormat="1" applyFont="1" applyFill="1" applyBorder="1" applyAlignment="1">
      <alignment horizontal="center" vertical="center" wrapText="1"/>
    </xf>
    <xf numFmtId="0" fontId="4" fillId="14" borderId="20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/>
    <xf numFmtId="0" fontId="31" fillId="2" borderId="0" xfId="0" applyNumberFormat="1" applyFont="1" applyFill="1"/>
    <xf numFmtId="0" fontId="1" fillId="19" borderId="7" xfId="1" applyNumberFormat="1" applyFont="1" applyFill="1" applyBorder="1" applyAlignment="1"/>
    <xf numFmtId="0" fontId="16" fillId="2" borderId="0" xfId="0" applyNumberFormat="1" applyFont="1" applyFill="1"/>
    <xf numFmtId="0" fontId="19" fillId="4" borderId="1" xfId="3" applyNumberFormat="1" applyFont="1" applyFill="1" applyBorder="1" applyAlignment="1">
      <alignment horizontal="center" vertical="center"/>
    </xf>
    <xf numFmtId="0" fontId="17" fillId="0" borderId="1" xfId="3" applyNumberFormat="1" applyFont="1" applyBorder="1" applyAlignment="1">
      <alignment horizontal="center" vertical="center"/>
    </xf>
    <xf numFmtId="0" fontId="30" fillId="0" borderId="0" xfId="4" applyNumberFormat="1" applyFont="1"/>
    <xf numFmtId="0" fontId="4" fillId="16" borderId="1" xfId="0" applyNumberFormat="1" applyFont="1" applyFill="1" applyBorder="1" applyAlignment="1">
      <alignment horizontal="center" vertical="center"/>
    </xf>
    <xf numFmtId="0" fontId="4" fillId="2" borderId="1" xfId="1" applyNumberFormat="1" applyFont="1" applyFill="1" applyBorder="1"/>
    <xf numFmtId="0" fontId="29" fillId="0" borderId="0" xfId="4" applyNumberFormat="1"/>
  </cellXfs>
  <cellStyles count="5">
    <cellStyle name="Hipervínculo" xfId="4" builtinId="8"/>
    <cellStyle name="Millares" xfId="1" builtinId="3"/>
    <cellStyle name="Normal" xfId="0" builtinId="0"/>
    <cellStyle name="Normal 10 3" xfId="3"/>
    <cellStyle name="Porcentaje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13</xdr:row>
      <xdr:rowOff>0</xdr:rowOff>
    </xdr:from>
    <xdr:to>
      <xdr:col>3</xdr:col>
      <xdr:colOff>66676</xdr:colOff>
      <xdr:row>14</xdr:row>
      <xdr:rowOff>19200</xdr:rowOff>
    </xdr:to>
    <xdr:sp macro="" textlink="">
      <xdr:nvSpPr>
        <xdr:cNvPr id="2" name="Rectángulo 1"/>
        <xdr:cNvSpPr/>
      </xdr:nvSpPr>
      <xdr:spPr>
        <a:xfrm>
          <a:off x="266700" y="2886075"/>
          <a:ext cx="7972426" cy="324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266699</xdr:colOff>
      <xdr:row>31</xdr:row>
      <xdr:rowOff>0</xdr:rowOff>
    </xdr:from>
    <xdr:to>
      <xdr:col>4</xdr:col>
      <xdr:colOff>3448874</xdr:colOff>
      <xdr:row>32</xdr:row>
      <xdr:rowOff>19200</xdr:rowOff>
    </xdr:to>
    <xdr:sp macro="" textlink="">
      <xdr:nvSpPr>
        <xdr:cNvPr id="3" name="Rectángulo 2"/>
        <xdr:cNvSpPr/>
      </xdr:nvSpPr>
      <xdr:spPr>
        <a:xfrm>
          <a:off x="266699" y="7019925"/>
          <a:ext cx="13212000" cy="324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ustentarios\8.%20Cocci&#243;n%20limpia\GLP\Informaci&#243;n%20GLP%20de%20FISE-OSINERGMIN%20(Davie%20Puclla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Acceso%20Universal%20a%20la%20Energ&#237;a%20sostenible\Cocci&#243;n\Informaci&#243;n%20GLP-FISE%20y%20calculos%20propi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ustentarios\8.%20Cocci&#243;n%20limpia\Cocinas%20mejoradas\Indicadores%20Berkel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0">
          <cell r="C10">
            <v>87508</v>
          </cell>
        </row>
        <row r="11">
          <cell r="C11">
            <v>101418</v>
          </cell>
        </row>
        <row r="12">
          <cell r="C12">
            <v>114122</v>
          </cell>
        </row>
        <row r="13">
          <cell r="C13">
            <v>200591</v>
          </cell>
        </row>
        <row r="14">
          <cell r="C14">
            <v>216455</v>
          </cell>
        </row>
        <row r="15">
          <cell r="C15">
            <v>206228</v>
          </cell>
        </row>
        <row r="16">
          <cell r="B16">
            <v>6422</v>
          </cell>
          <cell r="C16">
            <v>269372</v>
          </cell>
        </row>
        <row r="17">
          <cell r="B17">
            <v>7572</v>
          </cell>
          <cell r="C17">
            <v>308434</v>
          </cell>
        </row>
        <row r="18">
          <cell r="B18">
            <v>5253</v>
          </cell>
          <cell r="C18">
            <v>311775</v>
          </cell>
        </row>
        <row r="19">
          <cell r="B19">
            <v>4661</v>
          </cell>
          <cell r="C19">
            <v>345443</v>
          </cell>
        </row>
        <row r="20">
          <cell r="B20">
            <v>8624</v>
          </cell>
          <cell r="C20">
            <v>361953</v>
          </cell>
        </row>
        <row r="21">
          <cell r="B21">
            <v>39455</v>
          </cell>
          <cell r="C21">
            <v>440943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dimiento GLP"/>
      <sheetName val="Rendimientos otras"/>
      <sheetName val="Vales FISE"/>
      <sheetName val="Calculos propios"/>
      <sheetName val="Factores"/>
    </sheetNames>
    <sheetDataSet>
      <sheetData sheetId="0"/>
      <sheetData sheetId="1"/>
      <sheetData sheetId="2">
        <row r="23">
          <cell r="C23">
            <v>71987</v>
          </cell>
        </row>
        <row r="25">
          <cell r="C25">
            <v>5822706</v>
          </cell>
        </row>
        <row r="26">
          <cell r="C26">
            <v>8083106</v>
          </cell>
        </row>
        <row r="27">
          <cell r="C27">
            <v>9943137</v>
          </cell>
        </row>
        <row r="28">
          <cell r="C28">
            <v>9550805</v>
          </cell>
        </row>
        <row r="29">
          <cell r="C29">
            <v>9524196</v>
          </cell>
        </row>
        <row r="30">
          <cell r="C30">
            <v>8651910</v>
          </cell>
        </row>
      </sheetData>
      <sheetData sheetId="3">
        <row r="6">
          <cell r="T6">
            <v>7.3806724874458691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mos"/>
      <sheetName val="Energía y contenido de carbono"/>
      <sheetName val="Comparativo IPCC"/>
      <sheetName val="Factores de emisión"/>
    </sheetNames>
    <sheetDataSet>
      <sheetData sheetId="0">
        <row r="54">
          <cell r="D54">
            <v>2.8233333333333328</v>
          </cell>
        </row>
        <row r="55">
          <cell r="C55">
            <v>1.53</v>
          </cell>
        </row>
        <row r="56">
          <cell r="C56">
            <v>1.42</v>
          </cell>
        </row>
        <row r="57">
          <cell r="C57">
            <v>2.06</v>
          </cell>
        </row>
        <row r="58">
          <cell r="C58">
            <v>0.84</v>
          </cell>
        </row>
        <row r="59">
          <cell r="C59">
            <v>1.1599999999999999</v>
          </cell>
        </row>
      </sheetData>
      <sheetData sheetId="1">
        <row r="5">
          <cell r="M5">
            <v>17412.166666666668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s.slideshare.net/slides_eoi/alfredo-lopez-mendiburu-acciona" TargetMode="External"/><Relationship Id="rId1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zoomScaleNormal="100" workbookViewId="0">
      <selection activeCell="C40" sqref="C40"/>
    </sheetView>
  </sheetViews>
  <sheetFormatPr baseColWidth="10" defaultRowHeight="15" x14ac:dyDescent="0.25"/>
  <cols>
    <col min="1" max="1" width="4.140625" style="1" customWidth="1"/>
    <col min="2" max="2" width="14.85546875" style="1" customWidth="1"/>
    <col min="3" max="3" width="103.5703125" style="1" customWidth="1"/>
    <col min="4" max="4" width="48.42578125" style="1" customWidth="1"/>
    <col min="5" max="5" width="40.85546875" style="1" customWidth="1"/>
    <col min="6" max="16384" width="11.42578125" style="1"/>
  </cols>
  <sheetData>
    <row r="2" spans="1:7" s="2" customFormat="1" x14ac:dyDescent="0.25">
      <c r="A2" s="2" t="s">
        <v>0</v>
      </c>
      <c r="B2" s="2" t="s">
        <v>1</v>
      </c>
    </row>
    <row r="3" spans="1:7" ht="15.75" thickBot="1" x14ac:dyDescent="0.3"/>
    <row r="4" spans="1:7" x14ac:dyDescent="0.25">
      <c r="B4" s="195" t="s">
        <v>10</v>
      </c>
      <c r="C4" s="196"/>
      <c r="D4" s="196"/>
      <c r="E4" s="197"/>
    </row>
    <row r="5" spans="1:7" x14ac:dyDescent="0.25">
      <c r="B5" s="198"/>
      <c r="C5" s="199"/>
      <c r="D5" s="199"/>
      <c r="E5" s="200"/>
    </row>
    <row r="6" spans="1:7" ht="15.75" thickBot="1" x14ac:dyDescent="0.3">
      <c r="B6" s="201"/>
      <c r="C6" s="202"/>
      <c r="D6" s="202"/>
      <c r="E6" s="203"/>
    </row>
    <row r="8" spans="1:7" x14ac:dyDescent="0.25">
      <c r="B8" s="3" t="s">
        <v>2</v>
      </c>
      <c r="C8" s="3" t="s">
        <v>3</v>
      </c>
      <c r="D8" s="3" t="s">
        <v>4</v>
      </c>
      <c r="E8" s="3" t="s">
        <v>5</v>
      </c>
    </row>
    <row r="9" spans="1:7" ht="45" x14ac:dyDescent="0.25">
      <c r="B9" s="4" t="s">
        <v>6</v>
      </c>
      <c r="C9" s="20" t="s">
        <v>7</v>
      </c>
      <c r="D9" s="24" t="s">
        <v>8</v>
      </c>
      <c r="E9" s="25" t="s">
        <v>9</v>
      </c>
    </row>
    <row r="11" spans="1:7" ht="15.75" x14ac:dyDescent="0.25">
      <c r="B11" s="5" t="s">
        <v>11</v>
      </c>
    </row>
    <row r="13" spans="1:7" x14ac:dyDescent="0.25">
      <c r="B13" s="6" t="s">
        <v>12</v>
      </c>
      <c r="C13" s="7"/>
    </row>
    <row r="14" spans="1:7" ht="24" x14ac:dyDescent="0.25">
      <c r="B14" s="8" t="s">
        <v>168</v>
      </c>
      <c r="D14"/>
      <c r="E14" s="47"/>
      <c r="F14" s="48"/>
      <c r="G14" s="49"/>
    </row>
    <row r="16" spans="1:7" x14ac:dyDescent="0.25">
      <c r="B16" s="1" t="s">
        <v>13</v>
      </c>
    </row>
    <row r="17" spans="2:3" ht="18" x14ac:dyDescent="0.35">
      <c r="B17" s="1" t="s">
        <v>94</v>
      </c>
      <c r="C17" s="1" t="s">
        <v>167</v>
      </c>
    </row>
    <row r="18" spans="2:3" ht="18" customHeight="1" x14ac:dyDescent="0.35">
      <c r="B18" s="1" t="s">
        <v>20</v>
      </c>
      <c r="C18" s="1" t="s">
        <v>15</v>
      </c>
    </row>
    <row r="19" spans="2:3" ht="18" x14ac:dyDescent="0.35">
      <c r="B19" s="1" t="s">
        <v>106</v>
      </c>
      <c r="C19" s="1" t="s">
        <v>105</v>
      </c>
    </row>
    <row r="20" spans="2:3" ht="18" customHeight="1" x14ac:dyDescent="0.35">
      <c r="B20" s="1" t="s">
        <v>16</v>
      </c>
      <c r="C20" s="1" t="s">
        <v>17</v>
      </c>
    </row>
    <row r="21" spans="2:3" ht="18" customHeight="1" x14ac:dyDescent="0.35">
      <c r="B21" s="1" t="s">
        <v>96</v>
      </c>
      <c r="C21" s="1" t="s">
        <v>98</v>
      </c>
    </row>
    <row r="22" spans="2:3" ht="18" customHeight="1" x14ac:dyDescent="0.35">
      <c r="B22" s="1" t="s">
        <v>97</v>
      </c>
      <c r="C22" s="1" t="s">
        <v>99</v>
      </c>
    </row>
    <row r="23" spans="2:3" ht="18" customHeight="1" x14ac:dyDescent="0.35">
      <c r="B23" s="1" t="s">
        <v>101</v>
      </c>
      <c r="C23" s="1" t="s">
        <v>103</v>
      </c>
    </row>
    <row r="24" spans="2:3" ht="18" customHeight="1" x14ac:dyDescent="0.35">
      <c r="B24" s="1" t="s">
        <v>95</v>
      </c>
      <c r="C24" s="1" t="s">
        <v>100</v>
      </c>
    </row>
    <row r="25" spans="2:3" ht="18" customHeight="1" x14ac:dyDescent="0.35">
      <c r="B25" s="1" t="s">
        <v>102</v>
      </c>
      <c r="C25" s="1" t="s">
        <v>104</v>
      </c>
    </row>
    <row r="26" spans="2:3" ht="18" x14ac:dyDescent="0.35">
      <c r="B26" s="1" t="s">
        <v>18</v>
      </c>
      <c r="C26" s="1" t="s">
        <v>19</v>
      </c>
    </row>
    <row r="27" spans="2:3" x14ac:dyDescent="0.25">
      <c r="B27" s="1" t="s">
        <v>129</v>
      </c>
      <c r="C27" s="1" t="s">
        <v>130</v>
      </c>
    </row>
    <row r="29" spans="2:3" ht="15.75" x14ac:dyDescent="0.25">
      <c r="B29" s="5" t="s">
        <v>92</v>
      </c>
    </row>
    <row r="30" spans="2:3" ht="15.75" x14ac:dyDescent="0.25">
      <c r="B30" s="5"/>
    </row>
    <row r="31" spans="2:3" x14ac:dyDescent="0.25">
      <c r="B31" s="6" t="s">
        <v>93</v>
      </c>
      <c r="C31" s="7"/>
    </row>
    <row r="32" spans="2:3" ht="24" x14ac:dyDescent="0.25">
      <c r="B32" s="8" t="s">
        <v>128</v>
      </c>
    </row>
    <row r="34" spans="2:3" x14ac:dyDescent="0.25">
      <c r="B34" s="1" t="s">
        <v>13</v>
      </c>
    </row>
    <row r="35" spans="2:3" ht="18" x14ac:dyDescent="0.35">
      <c r="B35" s="1" t="s">
        <v>94</v>
      </c>
      <c r="C35" s="1" t="s">
        <v>14</v>
      </c>
    </row>
    <row r="36" spans="2:3" ht="18" x14ac:dyDescent="0.35">
      <c r="B36" s="1" t="s">
        <v>20</v>
      </c>
      <c r="C36" s="1" t="s">
        <v>15</v>
      </c>
    </row>
    <row r="37" spans="2:3" ht="18" x14ac:dyDescent="0.35">
      <c r="B37" s="1" t="s">
        <v>16</v>
      </c>
      <c r="C37" s="1" t="s">
        <v>17</v>
      </c>
    </row>
    <row r="38" spans="2:3" ht="18" x14ac:dyDescent="0.35">
      <c r="B38" s="1" t="s">
        <v>96</v>
      </c>
      <c r="C38" s="1" t="s">
        <v>98</v>
      </c>
    </row>
    <row r="39" spans="2:3" ht="18" x14ac:dyDescent="0.35">
      <c r="B39" s="1" t="s">
        <v>97</v>
      </c>
      <c r="C39" s="1" t="s">
        <v>99</v>
      </c>
    </row>
    <row r="40" spans="2:3" ht="18" x14ac:dyDescent="0.35">
      <c r="B40" s="1" t="s">
        <v>101</v>
      </c>
      <c r="C40" s="1" t="s">
        <v>103</v>
      </c>
    </row>
    <row r="41" spans="2:3" ht="18" x14ac:dyDescent="0.35">
      <c r="B41" s="1" t="s">
        <v>107</v>
      </c>
      <c r="C41" s="1" t="s">
        <v>100</v>
      </c>
    </row>
    <row r="42" spans="2:3" ht="18" x14ac:dyDescent="0.35">
      <c r="B42" s="1" t="s">
        <v>102</v>
      </c>
      <c r="C42" s="1" t="s">
        <v>104</v>
      </c>
    </row>
    <row r="43" spans="2:3" ht="18" x14ac:dyDescent="0.35">
      <c r="B43" s="1" t="s">
        <v>114</v>
      </c>
      <c r="C43" s="1" t="s">
        <v>116</v>
      </c>
    </row>
    <row r="44" spans="2:3" ht="18" x14ac:dyDescent="0.35">
      <c r="B44" s="1" t="s">
        <v>106</v>
      </c>
      <c r="C44" s="1" t="s">
        <v>105</v>
      </c>
    </row>
    <row r="45" spans="2:3" ht="18" x14ac:dyDescent="0.35">
      <c r="B45" s="1" t="s">
        <v>108</v>
      </c>
      <c r="C45" s="1" t="s">
        <v>173</v>
      </c>
    </row>
    <row r="46" spans="2:3" ht="18" x14ac:dyDescent="0.35">
      <c r="B46" s="1" t="s">
        <v>109</v>
      </c>
      <c r="C46" s="1" t="s">
        <v>174</v>
      </c>
    </row>
    <row r="47" spans="2:3" ht="18" x14ac:dyDescent="0.35">
      <c r="B47" s="1" t="s">
        <v>101</v>
      </c>
      <c r="C47" s="1" t="s">
        <v>103</v>
      </c>
    </row>
    <row r="48" spans="2:3" ht="18" x14ac:dyDescent="0.35">
      <c r="B48" s="1" t="s">
        <v>95</v>
      </c>
      <c r="C48" s="1" t="s">
        <v>175</v>
      </c>
    </row>
    <row r="49" spans="2:3" ht="18" x14ac:dyDescent="0.35">
      <c r="B49" s="1" t="s">
        <v>102</v>
      </c>
      <c r="C49" s="1" t="s">
        <v>104</v>
      </c>
    </row>
    <row r="50" spans="2:3" ht="18" x14ac:dyDescent="0.35">
      <c r="B50" s="1" t="s">
        <v>115</v>
      </c>
      <c r="C50" s="1" t="s">
        <v>117</v>
      </c>
    </row>
    <row r="51" spans="2:3" x14ac:dyDescent="0.25">
      <c r="B51" s="1" t="s">
        <v>129</v>
      </c>
      <c r="C51" s="1" t="s">
        <v>130</v>
      </c>
    </row>
  </sheetData>
  <mergeCells count="1">
    <mergeCell ref="B4:E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E20" sqref="E20"/>
    </sheetView>
  </sheetViews>
  <sheetFormatPr baseColWidth="10" defaultRowHeight="15" x14ac:dyDescent="0.25"/>
  <cols>
    <col min="1" max="1" width="4.5703125" style="1" bestFit="1" customWidth="1"/>
    <col min="2" max="2" width="11.42578125" style="1"/>
    <col min="3" max="3" width="37.85546875" style="1" customWidth="1"/>
    <col min="4" max="4" width="27" style="1" customWidth="1"/>
    <col min="5" max="5" width="22.7109375" style="1" customWidth="1"/>
    <col min="6" max="6" width="22.85546875" style="1" customWidth="1"/>
    <col min="7" max="7" width="22.7109375" style="1" customWidth="1"/>
    <col min="8" max="16384" width="11.42578125" style="1"/>
  </cols>
  <sheetData>
    <row r="2" spans="1:7" s="2" customFormat="1" x14ac:dyDescent="0.25">
      <c r="A2" s="2" t="s">
        <v>0</v>
      </c>
      <c r="B2" s="2" t="s">
        <v>1</v>
      </c>
    </row>
    <row r="4" spans="1:7" x14ac:dyDescent="0.25">
      <c r="B4" s="204" t="s">
        <v>21</v>
      </c>
      <c r="C4" s="204"/>
      <c r="D4" s="204"/>
      <c r="E4" s="204"/>
      <c r="F4" s="204"/>
      <c r="G4" s="204"/>
    </row>
    <row r="5" spans="1:7" x14ac:dyDescent="0.25">
      <c r="B5" s="9" t="s">
        <v>22</v>
      </c>
      <c r="D5" s="9" t="s">
        <v>23</v>
      </c>
    </row>
    <row r="6" spans="1:7" x14ac:dyDescent="0.25">
      <c r="B6" s="205" t="s">
        <v>24</v>
      </c>
      <c r="C6" s="205"/>
      <c r="D6" s="205" t="s">
        <v>24</v>
      </c>
      <c r="E6" s="205"/>
    </row>
    <row r="7" spans="1:7" ht="18" x14ac:dyDescent="0.25">
      <c r="B7" s="10" t="s">
        <v>25</v>
      </c>
      <c r="D7" s="1" t="s">
        <v>26</v>
      </c>
    </row>
    <row r="9" spans="1:7" x14ac:dyDescent="0.25">
      <c r="B9" s="11" t="s">
        <v>27</v>
      </c>
      <c r="C9" s="11" t="s">
        <v>28</v>
      </c>
      <c r="D9" s="11" t="s">
        <v>29</v>
      </c>
      <c r="E9" s="12" t="s">
        <v>30</v>
      </c>
      <c r="F9" s="13" t="s">
        <v>31</v>
      </c>
      <c r="G9" s="13" t="s">
        <v>32</v>
      </c>
    </row>
    <row r="10" spans="1:7" x14ac:dyDescent="0.25">
      <c r="B10" s="206" t="s">
        <v>6</v>
      </c>
      <c r="C10" s="207"/>
      <c r="D10" s="207"/>
      <c r="E10" s="207"/>
      <c r="F10" s="207"/>
      <c r="G10" s="208"/>
    </row>
    <row r="11" spans="1:7" ht="24" x14ac:dyDescent="0.25">
      <c r="B11" s="209" t="s">
        <v>33</v>
      </c>
      <c r="C11" s="14" t="s">
        <v>34</v>
      </c>
      <c r="D11" s="14" t="s">
        <v>35</v>
      </c>
      <c r="E11" s="14" t="s">
        <v>36</v>
      </c>
      <c r="F11" s="14" t="s">
        <v>37</v>
      </c>
      <c r="G11" s="14" t="s">
        <v>50</v>
      </c>
    </row>
    <row r="12" spans="1:7" ht="24" x14ac:dyDescent="0.25">
      <c r="B12" s="210"/>
      <c r="C12" s="14" t="s">
        <v>38</v>
      </c>
      <c r="D12" s="14" t="s">
        <v>39</v>
      </c>
      <c r="E12" s="14" t="s">
        <v>36</v>
      </c>
      <c r="F12" s="14" t="s">
        <v>37</v>
      </c>
      <c r="G12" s="14" t="s">
        <v>50</v>
      </c>
    </row>
    <row r="13" spans="1:7" x14ac:dyDescent="0.25">
      <c r="B13" s="211"/>
      <c r="C13" s="14" t="s">
        <v>40</v>
      </c>
      <c r="D13" s="14" t="s">
        <v>41</v>
      </c>
      <c r="E13" s="14" t="s">
        <v>36</v>
      </c>
      <c r="F13" s="14" t="s">
        <v>42</v>
      </c>
      <c r="G13" s="14" t="s">
        <v>45</v>
      </c>
    </row>
    <row r="14" spans="1:7" ht="24" x14ac:dyDescent="0.25">
      <c r="B14" s="15" t="s">
        <v>43</v>
      </c>
      <c r="C14" s="14" t="s">
        <v>51</v>
      </c>
      <c r="D14" s="14" t="s">
        <v>52</v>
      </c>
      <c r="E14" s="14" t="s">
        <v>44</v>
      </c>
      <c r="F14" s="14" t="s">
        <v>53</v>
      </c>
      <c r="G14" s="14" t="s">
        <v>45</v>
      </c>
    </row>
    <row r="15" spans="1:7" ht="36" customHeight="1" x14ac:dyDescent="0.25">
      <c r="B15" s="15" t="s">
        <v>46</v>
      </c>
      <c r="C15" s="14" t="s">
        <v>47</v>
      </c>
      <c r="D15" s="14" t="s">
        <v>36</v>
      </c>
      <c r="E15" s="14" t="s">
        <v>48</v>
      </c>
      <c r="F15" s="14" t="s">
        <v>54</v>
      </c>
      <c r="G15" s="14" t="s">
        <v>49</v>
      </c>
    </row>
  </sheetData>
  <mergeCells count="5">
    <mergeCell ref="B4:G4"/>
    <mergeCell ref="B6:C6"/>
    <mergeCell ref="D6:E6"/>
    <mergeCell ref="B10:G10"/>
    <mergeCell ref="B11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288"/>
  <sheetViews>
    <sheetView topLeftCell="A181" zoomScaleNormal="100" workbookViewId="0">
      <selection activeCell="C181" sqref="C181"/>
    </sheetView>
  </sheetViews>
  <sheetFormatPr baseColWidth="10" defaultRowHeight="12.75" x14ac:dyDescent="0.2"/>
  <cols>
    <col min="1" max="1" width="1.85546875" style="40" customWidth="1"/>
    <col min="2" max="2" width="20.140625" style="40" customWidth="1"/>
    <col min="3" max="3" width="14.140625" style="40" customWidth="1"/>
    <col min="4" max="4" width="24.5703125" style="40" customWidth="1"/>
    <col min="5" max="5" width="13.7109375" style="40" customWidth="1"/>
    <col min="6" max="6" width="19.28515625" style="40" customWidth="1"/>
    <col min="7" max="7" width="26.42578125" style="40" customWidth="1"/>
    <col min="8" max="8" width="14.85546875" style="40" customWidth="1"/>
    <col min="9" max="9" width="24.42578125" style="40" bestFit="1" customWidth="1"/>
    <col min="10" max="10" width="22.5703125" style="40" bestFit="1" customWidth="1"/>
    <col min="11" max="11" width="21.85546875" style="40" customWidth="1"/>
    <col min="12" max="12" width="21.5703125" style="40" customWidth="1"/>
    <col min="13" max="13" width="19.140625" style="40" customWidth="1"/>
    <col min="14" max="14" width="19.28515625" style="40" customWidth="1"/>
    <col min="15" max="15" width="19.5703125" style="40" customWidth="1"/>
    <col min="16" max="16" width="7.42578125" style="40" customWidth="1"/>
    <col min="17" max="18" width="11.42578125" style="40" customWidth="1"/>
    <col min="19" max="19" width="12.140625" style="40" customWidth="1"/>
    <col min="20" max="20" width="4.5703125" style="40" customWidth="1"/>
    <col min="21" max="21" width="4.85546875" style="40" customWidth="1"/>
    <col min="22" max="22" width="15.140625" style="40" customWidth="1"/>
    <col min="23" max="23" width="16.28515625" style="40" customWidth="1"/>
    <col min="24" max="24" width="16" style="40" customWidth="1"/>
    <col min="25" max="25" width="14.7109375" style="40" customWidth="1"/>
    <col min="26" max="26" width="14.85546875" style="40" customWidth="1"/>
    <col min="27" max="27" width="14.140625" style="40" customWidth="1"/>
    <col min="28" max="28" width="14.7109375" style="40" customWidth="1"/>
    <col min="29" max="16384" width="11.42578125" style="40"/>
  </cols>
  <sheetData>
    <row r="1" spans="2:28" ht="9.75" customHeight="1" x14ac:dyDescent="0.2"/>
    <row r="2" spans="2:28" x14ac:dyDescent="0.2">
      <c r="B2" s="214" t="s">
        <v>55</v>
      </c>
      <c r="C2" s="214"/>
      <c r="D2" s="219" t="s">
        <v>56</v>
      </c>
      <c r="E2" s="219"/>
      <c r="F2" s="219"/>
      <c r="G2" s="219"/>
      <c r="H2" s="219"/>
      <c r="I2" s="219"/>
      <c r="J2" s="219"/>
    </row>
    <row r="3" spans="2:28" ht="27" x14ac:dyDescent="0.2">
      <c r="B3" s="90" t="s">
        <v>57</v>
      </c>
      <c r="C3" s="91" t="s">
        <v>253</v>
      </c>
      <c r="D3" s="90" t="s">
        <v>57</v>
      </c>
      <c r="E3" s="91" t="s">
        <v>253</v>
      </c>
      <c r="F3" s="91" t="s">
        <v>58</v>
      </c>
      <c r="G3" s="91" t="s">
        <v>134</v>
      </c>
      <c r="H3" s="91" t="s">
        <v>59</v>
      </c>
      <c r="I3" s="92" t="s">
        <v>215</v>
      </c>
      <c r="J3" s="92" t="s">
        <v>217</v>
      </c>
      <c r="K3" s="92" t="s">
        <v>60</v>
      </c>
      <c r="L3" s="92" t="s">
        <v>61</v>
      </c>
      <c r="M3" s="92" t="s">
        <v>62</v>
      </c>
      <c r="N3" s="92" t="s">
        <v>63</v>
      </c>
      <c r="O3" s="92" t="s">
        <v>254</v>
      </c>
      <c r="V3" s="92" t="s">
        <v>160</v>
      </c>
      <c r="W3" s="92" t="s">
        <v>161</v>
      </c>
      <c r="X3" s="92" t="s">
        <v>162</v>
      </c>
      <c r="Y3" s="92" t="s">
        <v>166</v>
      </c>
      <c r="Z3" s="92" t="s">
        <v>255</v>
      </c>
      <c r="AA3" s="92" t="s">
        <v>256</v>
      </c>
      <c r="AB3" s="92" t="s">
        <v>163</v>
      </c>
    </row>
    <row r="4" spans="2:28" ht="54" x14ac:dyDescent="0.2">
      <c r="B4" s="93" t="s">
        <v>90</v>
      </c>
      <c r="C4" s="93" t="s">
        <v>139</v>
      </c>
      <c r="D4" s="93" t="s">
        <v>91</v>
      </c>
      <c r="E4" s="93" t="s">
        <v>139</v>
      </c>
      <c r="F4" s="93" t="s">
        <v>64</v>
      </c>
      <c r="G4" s="93" t="s">
        <v>225</v>
      </c>
      <c r="H4" s="93" t="s">
        <v>65</v>
      </c>
      <c r="I4" s="93" t="s">
        <v>216</v>
      </c>
      <c r="J4" s="93" t="s">
        <v>218</v>
      </c>
      <c r="K4" s="93" t="s">
        <v>66</v>
      </c>
      <c r="L4" s="93" t="s">
        <v>67</v>
      </c>
      <c r="M4" s="93" t="s">
        <v>68</v>
      </c>
      <c r="N4" s="94" t="s">
        <v>69</v>
      </c>
      <c r="O4" s="94" t="s">
        <v>219</v>
      </c>
      <c r="Q4" s="95" t="s">
        <v>220</v>
      </c>
      <c r="R4" s="95" t="s">
        <v>221</v>
      </c>
      <c r="S4" s="95" t="s">
        <v>222</v>
      </c>
      <c r="T4" s="96" t="s">
        <v>223</v>
      </c>
      <c r="V4" s="93" t="s">
        <v>239</v>
      </c>
      <c r="W4" s="93" t="s">
        <v>240</v>
      </c>
      <c r="X4" s="93" t="s">
        <v>241</v>
      </c>
      <c r="Y4" s="93" t="s">
        <v>242</v>
      </c>
      <c r="Z4" s="93" t="s">
        <v>257</v>
      </c>
      <c r="AA4" s="93" t="s">
        <v>239</v>
      </c>
      <c r="AB4" s="93" t="s">
        <v>239</v>
      </c>
    </row>
    <row r="5" spans="2:28" x14ac:dyDescent="0.2">
      <c r="B5" s="97" t="s">
        <v>73</v>
      </c>
      <c r="C5" s="98">
        <v>2.8233333333333328</v>
      </c>
      <c r="D5" s="99" t="s">
        <v>71</v>
      </c>
      <c r="E5" s="100">
        <v>1.42</v>
      </c>
      <c r="F5" s="101">
        <v>1131</v>
      </c>
      <c r="G5" s="101" t="s">
        <v>131</v>
      </c>
      <c r="H5" s="97">
        <v>2010</v>
      </c>
      <c r="I5" s="102">
        <v>40318</v>
      </c>
      <c r="J5" s="103">
        <v>220</v>
      </c>
      <c r="K5" s="104">
        <v>43853</v>
      </c>
      <c r="L5" s="97" t="s">
        <v>77</v>
      </c>
      <c r="M5" s="97" t="s">
        <v>78</v>
      </c>
      <c r="N5" s="97" t="s">
        <v>79</v>
      </c>
      <c r="O5" s="105">
        <f>(C5-E5)*((Factores!$D$4*Factores!$L$4)+Factores!$N$4*Factores!$L$20+Factores!$P$4*Factores!$L$21)*Factores!$J$4*F5*Variables!$C$16*J5/365</f>
        <v>3111.1235667997798</v>
      </c>
      <c r="Q5" s="106">
        <f>Factores!$J$4*C5*F5*(Factores!$D$4*Factores!$L$4+Factores!$N$4*Factores!$L$20+Factores!$P$4*Factores!$L$21)*Variables!$C$16*J5/365</f>
        <v>6259.1963446066839</v>
      </c>
      <c r="R5" s="106">
        <f>Factores!$J$4*E5*F5*(Factores!$D$4*Factores!$L$4+Factores!$N$4*Factores!$L$20+Factores!$P$4*Factores!$L$21)*Variables!$C$16*J5/365</f>
        <v>3148.0727778069036</v>
      </c>
      <c r="S5" s="106">
        <f t="shared" ref="S5:S22" si="0">Q5-R5</f>
        <v>3111.1235667997803</v>
      </c>
      <c r="T5" s="106">
        <f>O5-S5</f>
        <v>0</v>
      </c>
      <c r="V5" s="107">
        <f>($C5-$E5)*$F5*Variables!$C$16*Factores!$J$4*1000*Factores!U$4/1000000*$J5/365</f>
        <v>226.84094544657523</v>
      </c>
      <c r="W5" s="107">
        <f>($C5-$E5)*$F5*Variables!$C$16*Factores!$J$4*1000*Factores!V$4/1000000*$J5/365</f>
        <v>2.8355118180821908</v>
      </c>
      <c r="X5" s="107">
        <f>($C5-$E5)*$F5*Variables!$C$16*Factores!$J$4*1000*Factores!W$4/1000000*$J5/365</f>
        <v>34.026141816986289</v>
      </c>
      <c r="Y5" s="107">
        <f>($C5-$E5)*$F5*Variables!$C$16*Factores!$J$4*1000*Factores!X$4/1000000*$J5/365</f>
        <v>0.62381259997808192</v>
      </c>
      <c r="Z5" s="107">
        <f>($C5-$E5)*$F5*Variables!$C$16*Factores!$J$4*1000*Factores!Y$4/1000000*$J5/365</f>
        <v>43.099779634849298</v>
      </c>
      <c r="AA5" s="107">
        <f>($C5-$E5)*$F5*Variables!$C$16*Factores!$J$4*1000*Factores!Z$4/1000000*$J5/365</f>
        <v>41.965574907616414</v>
      </c>
      <c r="AB5" s="107">
        <f>($C5-$E5)*$F5*Variables!$C$16*Factores!$J$4*1000*Factores!AA$4/1000000*$J5/365</f>
        <v>4.1965574907616414</v>
      </c>
    </row>
    <row r="6" spans="2:28" x14ac:dyDescent="0.2">
      <c r="B6" s="97" t="s">
        <v>73</v>
      </c>
      <c r="C6" s="98">
        <v>2.8233333333333328</v>
      </c>
      <c r="D6" s="99" t="s">
        <v>71</v>
      </c>
      <c r="E6" s="100">
        <v>1.42</v>
      </c>
      <c r="F6" s="101">
        <v>1131</v>
      </c>
      <c r="G6" s="101" t="s">
        <v>132</v>
      </c>
      <c r="H6" s="97">
        <v>2010</v>
      </c>
      <c r="I6" s="102">
        <v>40224</v>
      </c>
      <c r="J6" s="103">
        <v>315</v>
      </c>
      <c r="K6" s="104">
        <v>43865</v>
      </c>
      <c r="L6" s="97" t="s">
        <v>77</v>
      </c>
      <c r="M6" s="97" t="s">
        <v>78</v>
      </c>
      <c r="N6" s="97" t="s">
        <v>138</v>
      </c>
      <c r="O6" s="105">
        <f>(C6-E6)*((Factores!$E$4*Factores!$L$4)+Factores!$N$4*Factores!$L$20+Factores!$P$4*Factores!$L$21)*Factores!$J$4*F6*Variables!$C$16*J6/365</f>
        <v>3727.022511067396</v>
      </c>
      <c r="Q6" s="106">
        <f>Factores!$J$4*C6*F6*(Factores!$E$4*Factores!$L$4+Factores!$N$4*Factores!$L$20+Factores!$P$4*Factores!$L$21)*Variables!$C$16*J6/365</f>
        <v>7498.3089474443832</v>
      </c>
      <c r="R6" s="106">
        <f>Factores!$J$4*E6*F6*(Factores!$E$4*Factores!$L$4+Factores!$N$4*Factores!$L$20+Factores!$P$4*Factores!$L$21)*Variables!$C$16*J6/365</f>
        <v>3771.2864363769859</v>
      </c>
      <c r="S6" s="106">
        <f t="shared" si="0"/>
        <v>3727.0225110673973</v>
      </c>
      <c r="T6" s="106">
        <f t="shared" ref="T6:T22" si="1">O6-S6</f>
        <v>0</v>
      </c>
      <c r="V6" s="107">
        <f>($C6-$E6)*$F6*Variables!$C$16*Factores!$J$4*1000*Factores!U$4/1000000*$J6/365</f>
        <v>324.79499007123275</v>
      </c>
      <c r="W6" s="107">
        <f>($C6-$E6)*$F6*Variables!$C$16*Factores!$J$4*1000*Factores!V$4/1000000*$J6/365</f>
        <v>4.05993737589041</v>
      </c>
      <c r="X6" s="107">
        <f>($C6-$E6)*$F6*Variables!$C$16*Factores!$J$4*1000*Factores!W$4/1000000*$J6/365</f>
        <v>48.719248510684913</v>
      </c>
      <c r="Y6" s="107">
        <f>($C6-$E6)*$F6*Variables!$C$16*Factores!$J$4*1000*Factores!X$4/1000000*$J6/365</f>
        <v>0.8931862226958901</v>
      </c>
      <c r="Z6" s="107">
        <f>($C6-$E6)*$F6*Variables!$C$16*Factores!$J$4*1000*Factores!Y$4/1000000*$J6/365</f>
        <v>61.711048113534225</v>
      </c>
      <c r="AA6" s="107">
        <f>($C6-$E6)*$F6*Variables!$C$16*Factores!$J$4*1000*Factores!Z$4/1000000*$J6/365</f>
        <v>60.087073163178047</v>
      </c>
      <c r="AB6" s="107">
        <f>($C6-$E6)*$F6*Variables!$C$16*Factores!$J$4*1000*Factores!AA$4/1000000*$J6/365</f>
        <v>6.0087073163178051</v>
      </c>
    </row>
    <row r="7" spans="2:28" x14ac:dyDescent="0.2">
      <c r="B7" s="97" t="s">
        <v>73</v>
      </c>
      <c r="C7" s="98">
        <v>2.8233333333333328</v>
      </c>
      <c r="D7" s="99" t="s">
        <v>71</v>
      </c>
      <c r="E7" s="100">
        <v>1.42</v>
      </c>
      <c r="F7" s="101">
        <v>1131</v>
      </c>
      <c r="G7" s="101" t="s">
        <v>133</v>
      </c>
      <c r="H7" s="97">
        <v>2010</v>
      </c>
      <c r="I7" s="102">
        <v>40346</v>
      </c>
      <c r="J7" s="103">
        <v>193</v>
      </c>
      <c r="K7" s="104">
        <v>43877</v>
      </c>
      <c r="L7" s="97" t="s">
        <v>77</v>
      </c>
      <c r="M7" s="97" t="s">
        <v>78</v>
      </c>
      <c r="N7" s="97" t="s">
        <v>79</v>
      </c>
      <c r="O7" s="105">
        <f>(C7-E7)*((Factores!$F$4*Factores!$L$4)+Factores!$N$4*Factores!$L$20+Factores!$P$4*Factores!$L$21)*Factores!$J$4*F7*Variables!$C$16*J7/365</f>
        <v>2060.65923676892</v>
      </c>
      <c r="Q7" s="106">
        <f>Factores!$J$4*C7*F7*(Factores!$F$4*Factores!$L$4+Factores!$N$4*Factores!$L$20+Factores!$P$4*Factores!$L$21)*Variables!$C$16*J7/365</f>
        <v>4145.7918611479217</v>
      </c>
      <c r="R7" s="106">
        <f>Factores!$J$4*E7*F7*(Factores!$F$4*Factores!$L$4+Factores!$N$4*Factores!$L$20+Factores!$P$4*Factores!$L$21)*Variables!$C$16*J7/365</f>
        <v>2085.1326243790027</v>
      </c>
      <c r="S7" s="106">
        <f t="shared" si="0"/>
        <v>2060.6592367689191</v>
      </c>
      <c r="T7" s="106">
        <v>1</v>
      </c>
      <c r="V7" s="107">
        <f>($C7-$E7)*$F7*Variables!$C$16*Factores!$J$4*1000*Factores!U$4/1000000*$J7/365</f>
        <v>199.00137486904103</v>
      </c>
      <c r="W7" s="107">
        <f>($C7-$E7)*$F7*Variables!$C$16*Factores!$J$4*1000*Factores!V$4/1000000*$J7/365</f>
        <v>2.487517185863013</v>
      </c>
      <c r="X7" s="107">
        <f>($C7-$E7)*$F7*Variables!$C$16*Factores!$J$4*1000*Factores!W$4/1000000*$J7/365</f>
        <v>29.850206230356154</v>
      </c>
      <c r="Y7" s="107">
        <f>($C7-$E7)*$F7*Variables!$C$16*Factores!$J$4*1000*Factores!X$4/1000000*$J7/365</f>
        <v>0.54725378088986276</v>
      </c>
      <c r="Z7" s="107">
        <f>($C7-$E7)*$F7*Variables!$C$16*Factores!$J$4*1000*Factores!Y$4/1000000*$J7/365</f>
        <v>37.810261225117792</v>
      </c>
      <c r="AA7" s="107">
        <f>($C7-$E7)*$F7*Variables!$C$16*Factores!$J$4*1000*Factores!Z$4/1000000*$J7/365</f>
        <v>36.815254350772584</v>
      </c>
      <c r="AB7" s="107">
        <f>($C7-$E7)*$F7*Variables!$C$16*Factores!$J$4*1000*Factores!AA$4/1000000*$J7/365</f>
        <v>3.6815254350772584</v>
      </c>
    </row>
    <row r="8" spans="2:28" x14ac:dyDescent="0.2">
      <c r="B8" s="97" t="s">
        <v>73</v>
      </c>
      <c r="C8" s="98">
        <v>2.8233333333333328</v>
      </c>
      <c r="D8" s="99" t="s">
        <v>210</v>
      </c>
      <c r="E8" s="100">
        <v>0.84</v>
      </c>
      <c r="F8" s="101">
        <v>652.33333333333337</v>
      </c>
      <c r="G8" s="101" t="s">
        <v>131</v>
      </c>
      <c r="H8" s="97">
        <v>2010</v>
      </c>
      <c r="I8" s="102">
        <v>40318</v>
      </c>
      <c r="J8" s="103">
        <v>220</v>
      </c>
      <c r="K8" s="104">
        <v>43889</v>
      </c>
      <c r="L8" s="97" t="s">
        <v>77</v>
      </c>
      <c r="M8" s="97" t="s">
        <v>78</v>
      </c>
      <c r="N8" s="97" t="s">
        <v>138</v>
      </c>
      <c r="O8" s="105">
        <f>(C8-E8)*((Factores!$D$4*Factores!$L$4)+Factores!$N$4*Factores!$L$20+Factores!$P$4*Factores!$L$21)*Factores!$J$4*F8*Variables!$C$16*J8/365</f>
        <v>2536.0575027915979</v>
      </c>
      <c r="Q8" s="106">
        <f>Factores!$J$4*C8*F8*(Factores!$D$4*Factores!$L$4+Factores!$N$4*Factores!$L$20+Factores!$P$4*Factores!$L$21)*Variables!$C$16*J8/365</f>
        <v>3610.1524451503924</v>
      </c>
      <c r="R8" s="106">
        <f>Factores!$J$4*E8*F8*(Factores!$D$4*Factores!$L$4+Factores!$N$4*Factores!$L$20+Factores!$P$4*Factores!$L$21)*Variables!$C$16*J8/365</f>
        <v>1074.0949423587945</v>
      </c>
      <c r="S8" s="106">
        <f t="shared" si="0"/>
        <v>2536.0575027915979</v>
      </c>
      <c r="T8" s="106">
        <f t="shared" si="1"/>
        <v>0</v>
      </c>
      <c r="V8" s="107">
        <f>($C8-$E8)*$F8*Variables!$C$16*Factores!$J$4*1000*Factores!U$4/1000000*$J8/365</f>
        <v>184.91122878538806</v>
      </c>
      <c r="W8" s="107">
        <f>($C8-$E8)*$F8*Variables!$C$16*Factores!$J$4*1000*Factores!V$4/1000000*$J8/365</f>
        <v>2.3113903598173509</v>
      </c>
      <c r="X8" s="107">
        <f>($C8-$E8)*$F8*Variables!$C$16*Factores!$J$4*1000*Factores!W$4/1000000*$J8/365</f>
        <v>27.736684317808209</v>
      </c>
      <c r="Y8" s="107">
        <f>($C8-$E8)*$F8*Variables!$C$16*Factores!$J$4*1000*Factores!X$4/1000000*$J8/365</f>
        <v>0.50850587915981715</v>
      </c>
      <c r="Z8" s="107">
        <f>($C8-$E8)*$F8*Variables!$C$16*Factores!$J$4*1000*Factores!Y$4/1000000*$J8/365</f>
        <v>35.133133469223729</v>
      </c>
      <c r="AA8" s="107">
        <f>($C8-$E8)*$F8*Variables!$C$16*Factores!$J$4*1000*Factores!Z$4/1000000*$J8/365</f>
        <v>34.208577325296794</v>
      </c>
      <c r="AB8" s="107">
        <f>($C8-$E8)*$F8*Variables!$C$16*Factores!$J$4*1000*Factores!AA$4/1000000*$J8/365</f>
        <v>3.420857732529679</v>
      </c>
    </row>
    <row r="9" spans="2:28" x14ac:dyDescent="0.2">
      <c r="B9" s="97" t="s">
        <v>73</v>
      </c>
      <c r="C9" s="98">
        <v>2.8233333333333328</v>
      </c>
      <c r="D9" s="99" t="s">
        <v>210</v>
      </c>
      <c r="E9" s="100">
        <v>0.84</v>
      </c>
      <c r="F9" s="101">
        <v>652.33333333333337</v>
      </c>
      <c r="G9" s="101" t="s">
        <v>132</v>
      </c>
      <c r="H9" s="97">
        <v>2010</v>
      </c>
      <c r="I9" s="102">
        <v>40224</v>
      </c>
      <c r="J9" s="103">
        <v>315</v>
      </c>
      <c r="K9" s="104">
        <v>43901</v>
      </c>
      <c r="L9" s="97" t="s">
        <v>77</v>
      </c>
      <c r="M9" s="97" t="s">
        <v>78</v>
      </c>
      <c r="N9" s="97" t="s">
        <v>79</v>
      </c>
      <c r="O9" s="105">
        <f>(C9-E9)*((Factores!$E$4*Factores!$L$4)+Factores!$N$4*Factores!$L$20+Factores!$P$4*Factores!$L$21)*Factores!$J$4*F9*Variables!$C$16*J9/365</f>
        <v>3038.1125015835614</v>
      </c>
      <c r="Q9" s="106">
        <f>Factores!$J$4*C9*F9*(Factores!$E$4*Factores!$L$4+Factores!$N$4*Factores!$L$20+Factores!$P$4*Factores!$L$21)*Variables!$C$16*J9/365</f>
        <v>4324.842502254246</v>
      </c>
      <c r="R9" s="106">
        <f>Factores!$J$4*E9*F9*(Factores!$E$4*Factores!$L$4+Factores!$N$4*Factores!$L$20+Factores!$P$4*Factores!$L$21)*Variables!$C$16*J9/365</f>
        <v>1286.7300006706851</v>
      </c>
      <c r="S9" s="106">
        <f t="shared" si="0"/>
        <v>3038.112501583561</v>
      </c>
      <c r="T9" s="106">
        <f t="shared" si="1"/>
        <v>0</v>
      </c>
      <c r="V9" s="107">
        <f>($C9-$E9)*$F9*Variables!$C$16*Factores!$J$4*1000*Factores!U$4/1000000*$J9/365</f>
        <v>264.75925939726017</v>
      </c>
      <c r="W9" s="107">
        <f>($C9-$E9)*$F9*Variables!$C$16*Factores!$J$4*1000*Factores!V$4/1000000*$J9/365</f>
        <v>3.3094907424657527</v>
      </c>
      <c r="X9" s="107">
        <f>($C9-$E9)*$F9*Variables!$C$16*Factores!$J$4*1000*Factores!W$4/1000000*$J9/365</f>
        <v>39.713888909589024</v>
      </c>
      <c r="Y9" s="107">
        <f>($C9-$E9)*$F9*Variables!$C$16*Factores!$J$4*1000*Factores!X$4/1000000*$J9/365</f>
        <v>0.72808796334246551</v>
      </c>
      <c r="Z9" s="107">
        <f>($C9-$E9)*$F9*Variables!$C$16*Factores!$J$4*1000*Factores!Y$4/1000000*$J9/365</f>
        <v>50.304259285479432</v>
      </c>
      <c r="AA9" s="107">
        <f>($C9-$E9)*$F9*Variables!$C$16*Factores!$J$4*1000*Factores!Z$4/1000000*$J9/365</f>
        <v>48.980462988493137</v>
      </c>
      <c r="AB9" s="107">
        <f>($C9-$E9)*$F9*Variables!$C$16*Factores!$J$4*1000*Factores!AA$4/1000000*$J9/365</f>
        <v>4.8980462988493132</v>
      </c>
    </row>
    <row r="10" spans="2:28" x14ac:dyDescent="0.2">
      <c r="B10" s="97" t="s">
        <v>73</v>
      </c>
      <c r="C10" s="98">
        <v>2.8233333333333328</v>
      </c>
      <c r="D10" s="99" t="s">
        <v>210</v>
      </c>
      <c r="E10" s="100">
        <v>0.84</v>
      </c>
      <c r="F10" s="101">
        <v>652.33333333333337</v>
      </c>
      <c r="G10" s="101" t="s">
        <v>133</v>
      </c>
      <c r="H10" s="97">
        <v>2010</v>
      </c>
      <c r="I10" s="102">
        <v>40346</v>
      </c>
      <c r="J10" s="103">
        <v>193</v>
      </c>
      <c r="K10" s="104">
        <v>43913</v>
      </c>
      <c r="L10" s="97" t="s">
        <v>77</v>
      </c>
      <c r="M10" s="97" t="s">
        <v>78</v>
      </c>
      <c r="N10" s="97" t="s">
        <v>138</v>
      </c>
      <c r="O10" s="105">
        <f>(C10-E10)*((Factores!$F$4*Factores!$L$4)+Factores!$N$4*Factores!$L$20+Factores!$P$4*Factores!$L$21)*Factores!$J$4*F10*Variables!$C$16*J10/365</f>
        <v>1679.7630199819539</v>
      </c>
      <c r="Q10" s="106">
        <f>Factores!$J$4*C10*F10*(Factores!$F$4*Factores!$L$4+Factores!$N$4*Factores!$L$20+Factores!$P$4*Factores!$L$21)*Variables!$C$16*J10/365</f>
        <v>2391.1920637390172</v>
      </c>
      <c r="R10" s="106">
        <f>Factores!$J$4*E10*F10*(Factores!$F$4*Factores!$L$4+Factores!$N$4*Factores!$L$20+Factores!$P$4*Factores!$L$21)*Variables!$C$16*J10/365</f>
        <v>711.42904375706291</v>
      </c>
      <c r="S10" s="106">
        <f t="shared" si="0"/>
        <v>1679.7630199819541</v>
      </c>
      <c r="T10" s="106">
        <f t="shared" si="1"/>
        <v>0</v>
      </c>
      <c r="V10" s="107">
        <f>($C10-$E10)*$F10*Variables!$C$16*Factores!$J$4*1000*Factores!U$4/1000000*$J10/365</f>
        <v>162.21757797990861</v>
      </c>
      <c r="W10" s="107">
        <f>($C10-$E10)*$F10*Variables!$C$16*Factores!$J$4*1000*Factores!V$4/1000000*$J10/365</f>
        <v>2.0277197247488581</v>
      </c>
      <c r="X10" s="107">
        <f>($C10-$E10)*$F10*Variables!$C$16*Factores!$J$4*1000*Factores!W$4/1000000*$J10/365</f>
        <v>24.332636696986292</v>
      </c>
      <c r="Y10" s="107">
        <f>($C10-$E10)*$F10*Variables!$C$16*Factores!$J$4*1000*Factores!X$4/1000000*$J10/365</f>
        <v>0.44609833944474864</v>
      </c>
      <c r="Z10" s="107">
        <f>($C10-$E10)*$F10*Variables!$C$16*Factores!$J$4*1000*Factores!Y$4/1000000*$J10/365</f>
        <v>30.821339816182633</v>
      </c>
      <c r="AA10" s="107">
        <f>($C10-$E10)*$F10*Variables!$C$16*Factores!$J$4*1000*Factores!Z$4/1000000*$J10/365</f>
        <v>30.010251926283093</v>
      </c>
      <c r="AB10" s="107">
        <f>($C10-$E10)*$F10*Variables!$C$16*Factores!$J$4*1000*Factores!AA$4/1000000*$J10/365</f>
        <v>3.0010251926283091</v>
      </c>
    </row>
    <row r="11" spans="2:28" x14ac:dyDescent="0.2">
      <c r="B11" s="97" t="s">
        <v>73</v>
      </c>
      <c r="C11" s="98">
        <v>2.8233333333333328</v>
      </c>
      <c r="D11" s="99" t="s">
        <v>212</v>
      </c>
      <c r="E11" s="100">
        <v>1.8</v>
      </c>
      <c r="F11" s="101">
        <v>353</v>
      </c>
      <c r="G11" s="101" t="s">
        <v>131</v>
      </c>
      <c r="H11" s="97">
        <v>2010</v>
      </c>
      <c r="I11" s="102">
        <v>40318</v>
      </c>
      <c r="J11" s="103">
        <v>220</v>
      </c>
      <c r="K11" s="104">
        <v>43925</v>
      </c>
      <c r="L11" s="97" t="s">
        <v>77</v>
      </c>
      <c r="M11" s="97" t="s">
        <v>78</v>
      </c>
      <c r="N11" s="97" t="s">
        <v>79</v>
      </c>
      <c r="O11" s="105">
        <f>(C11-E11)*((Factores!$D$4*Factores!$L$4)+Factores!$N$4*Factores!$L$20+Factores!$P$4*Factores!$L$21)*Factores!$J$4*F11*Variables!$C$16*J11/365</f>
        <v>708.08540160087625</v>
      </c>
      <c r="Q11" s="106">
        <f>Factores!$J$4*C11*F11*(Factores!$D$4*Factores!$L$4+Factores!$N$4*Factores!$L$20+Factores!$P$4*Factores!$L$21)*Variables!$C$16*J11/365</f>
        <v>1953.5776389444381</v>
      </c>
      <c r="R11" s="106">
        <f>Factores!$J$4*E11*F11*(Factores!$D$4*Factores!$L$4+Factores!$N$4*Factores!$L$20+Factores!$P$4*Factores!$L$21)*Variables!$C$16*J11/365</f>
        <v>1245.492237343562</v>
      </c>
      <c r="S11" s="106">
        <f t="shared" si="0"/>
        <v>708.08540160087614</v>
      </c>
      <c r="T11" s="106">
        <f t="shared" si="1"/>
        <v>0</v>
      </c>
      <c r="V11" s="107">
        <f>($C11-$E11)*$F11*Variables!$C$16*Factores!$J$4*1000*Factores!U$4/1000000*$J11/365</f>
        <v>51.628538213698597</v>
      </c>
      <c r="W11" s="107">
        <f>($C11-$E11)*$F11*Variables!$C$16*Factores!$J$4*1000*Factores!V$4/1000000*$J11/365</f>
        <v>0.64535672767123242</v>
      </c>
      <c r="X11" s="107">
        <f>($C11-$E11)*$F11*Variables!$C$16*Factores!$J$4*1000*Factores!W$4/1000000*$J11/365</f>
        <v>7.7442807320547891</v>
      </c>
      <c r="Y11" s="107">
        <f>($C11-$E11)*$F11*Variables!$C$16*Factores!$J$4*1000*Factores!X$4/1000000*$J11/365</f>
        <v>0.14197848008767114</v>
      </c>
      <c r="Z11" s="107">
        <f>($C11-$E11)*$F11*Variables!$C$16*Factores!$J$4*1000*Factores!Y$4/1000000*$J11/365</f>
        <v>9.8094222606027337</v>
      </c>
      <c r="AA11" s="107">
        <f>($C11-$E11)*$F11*Variables!$C$16*Factores!$J$4*1000*Factores!Z$4/1000000*$J11/365</f>
        <v>9.5512795695342412</v>
      </c>
      <c r="AB11" s="107">
        <f>($C11-$E11)*$F11*Variables!$C$16*Factores!$J$4*1000*Factores!AA$4/1000000*$J11/365</f>
        <v>0.95512795695342401</v>
      </c>
    </row>
    <row r="12" spans="2:28" x14ac:dyDescent="0.2">
      <c r="B12" s="97" t="s">
        <v>73</v>
      </c>
      <c r="C12" s="98">
        <v>2.8233333333333328</v>
      </c>
      <c r="D12" s="99" t="s">
        <v>212</v>
      </c>
      <c r="E12" s="100">
        <v>1.8</v>
      </c>
      <c r="F12" s="101">
        <v>353</v>
      </c>
      <c r="G12" s="101" t="s">
        <v>132</v>
      </c>
      <c r="H12" s="97">
        <v>2010</v>
      </c>
      <c r="I12" s="102">
        <v>40224</v>
      </c>
      <c r="J12" s="103">
        <v>315</v>
      </c>
      <c r="K12" s="104">
        <v>43937</v>
      </c>
      <c r="L12" s="97" t="s">
        <v>77</v>
      </c>
      <c r="M12" s="97" t="s">
        <v>78</v>
      </c>
      <c r="N12" s="97" t="s">
        <v>138</v>
      </c>
      <c r="O12" s="105">
        <f>(C12-E12)*((Factores!$E$4*Factores!$L$4)+Factores!$N$4*Factores!$L$20+Factores!$P$4*Factores!$L$21)*Factores!$J$4*F12*Variables!$C$16*J12/365</f>
        <v>848.26274973041052</v>
      </c>
      <c r="Q12" s="106">
        <f>Factores!$J$4*C12*F12*(Factores!$E$4*Factores!$L$4+Factores!$N$4*Factores!$L$20+Factores!$P$4*Factores!$L$21)*Variables!$C$16*J12/365</f>
        <v>2340.3210065852054</v>
      </c>
      <c r="R12" s="106">
        <f>Factores!$J$4*E12*F12*(Factores!$E$4*Factores!$L$4+Factores!$N$4*Factores!$L$20+Factores!$P$4*Factores!$L$21)*Variables!$C$16*J12/365</f>
        <v>1492.0582568547948</v>
      </c>
      <c r="S12" s="106">
        <f t="shared" si="0"/>
        <v>848.26274973041063</v>
      </c>
      <c r="T12" s="106">
        <f t="shared" si="1"/>
        <v>0</v>
      </c>
      <c r="V12" s="107">
        <f>($C12-$E12)*$F12*Variables!$C$16*Factores!$J$4*1000*Factores!U$4/1000000*$J12/365</f>
        <v>73.92267971506844</v>
      </c>
      <c r="W12" s="107">
        <f>($C12-$E12)*$F12*Variables!$C$16*Factores!$J$4*1000*Factores!V$4/1000000*$J12/365</f>
        <v>0.92403349643835564</v>
      </c>
      <c r="X12" s="107">
        <f>($C12-$E12)*$F12*Variables!$C$16*Factores!$J$4*1000*Factores!W$4/1000000*$J12/365</f>
        <v>11.088401957260265</v>
      </c>
      <c r="Y12" s="107">
        <f>($C12-$E12)*$F12*Variables!$C$16*Factores!$J$4*1000*Factores!X$4/1000000*$J12/365</f>
        <v>0.20328736921643822</v>
      </c>
      <c r="Z12" s="107">
        <f>($C12-$E12)*$F12*Variables!$C$16*Factores!$J$4*1000*Factores!Y$4/1000000*$J12/365</f>
        <v>14.045309145863005</v>
      </c>
      <c r="AA12" s="107">
        <f>($C12-$E12)*$F12*Variables!$C$16*Factores!$J$4*1000*Factores!Z$4/1000000*$J12/365</f>
        <v>13.675695747287662</v>
      </c>
      <c r="AB12" s="107">
        <f>($C12-$E12)*$F12*Variables!$C$16*Factores!$J$4*1000*Factores!AA$4/1000000*$J12/365</f>
        <v>1.3675695747287662</v>
      </c>
    </row>
    <row r="13" spans="2:28" x14ac:dyDescent="0.2">
      <c r="B13" s="97" t="s">
        <v>73</v>
      </c>
      <c r="C13" s="98">
        <v>2.8233333333333328</v>
      </c>
      <c r="D13" s="99" t="s">
        <v>212</v>
      </c>
      <c r="E13" s="100">
        <v>1.8</v>
      </c>
      <c r="F13" s="101">
        <v>353</v>
      </c>
      <c r="G13" s="101" t="s">
        <v>133</v>
      </c>
      <c r="H13" s="97">
        <v>2010</v>
      </c>
      <c r="I13" s="102">
        <v>40346</v>
      </c>
      <c r="J13" s="103">
        <v>193</v>
      </c>
      <c r="K13" s="104">
        <v>43949</v>
      </c>
      <c r="L13" s="97" t="s">
        <v>77</v>
      </c>
      <c r="M13" s="97" t="s">
        <v>78</v>
      </c>
      <c r="N13" s="97" t="s">
        <v>79</v>
      </c>
      <c r="O13" s="105">
        <f>(C13-E13)*((Factores!$F$4*Factores!$L$4)+Factores!$N$4*Factores!$L$20+Factores!$P$4*Factores!$L$21)*Factores!$J$4*F13*Variables!$C$16*J13/365</f>
        <v>469.00185476431744</v>
      </c>
      <c r="Q13" s="106">
        <f>Factores!$J$4*C13*F13*(Factores!$F$4*Factores!$L$4+Factores!$N$4*Factores!$L$20+Factores!$P$4*Factores!$L$21)*Variables!$C$16*J13/365</f>
        <v>1293.9562572813586</v>
      </c>
      <c r="R13" s="106">
        <f>Factores!$J$4*E13*F13*(Factores!$F$4*Factores!$L$4+Factores!$N$4*Factores!$L$20+Factores!$P$4*Factores!$L$21)*Variables!$C$16*J13/365</f>
        <v>824.9544025170411</v>
      </c>
      <c r="S13" s="106">
        <f t="shared" si="0"/>
        <v>469.0018547643175</v>
      </c>
      <c r="T13" s="106">
        <f t="shared" si="1"/>
        <v>0</v>
      </c>
      <c r="V13" s="107">
        <f>($C13-$E13)*$F13*Variables!$C$16*Factores!$J$4*1000*Factores!U$4/1000000*$J13/365</f>
        <v>45.292308523835587</v>
      </c>
      <c r="W13" s="107">
        <f>($C13-$E13)*$F13*Variables!$C$16*Factores!$J$4*1000*Factores!V$4/1000000*$J13/365</f>
        <v>0.56615385654794481</v>
      </c>
      <c r="X13" s="107">
        <f>($C13-$E13)*$F13*Variables!$C$16*Factores!$J$4*1000*Factores!W$4/1000000*$J13/365</f>
        <v>6.7938462785753373</v>
      </c>
      <c r="Y13" s="107">
        <f>($C13-$E13)*$F13*Variables!$C$16*Factores!$J$4*1000*Factores!X$4/1000000*$J13/365</f>
        <v>0.12455384844054786</v>
      </c>
      <c r="Z13" s="107">
        <f>($C13-$E13)*$F13*Variables!$C$16*Factores!$J$4*1000*Factores!Y$4/1000000*$J13/365</f>
        <v>8.6055386195287618</v>
      </c>
      <c r="AA13" s="107">
        <f>($C13-$E13)*$F13*Variables!$C$16*Factores!$J$4*1000*Factores!Z$4/1000000*$J13/365</f>
        <v>8.3790770769095833</v>
      </c>
      <c r="AB13" s="107">
        <f>($C13-$E13)*$F13*Variables!$C$16*Factores!$J$4*1000*Factores!AA$4/1000000*$J13/365</f>
        <v>0.83790770769095824</v>
      </c>
    </row>
    <row r="14" spans="2:28" x14ac:dyDescent="0.2">
      <c r="B14" s="97" t="s">
        <v>73</v>
      </c>
      <c r="C14" s="98">
        <v>2.8233333333333328</v>
      </c>
      <c r="D14" s="99" t="s">
        <v>209</v>
      </c>
      <c r="E14" s="100">
        <v>1.53</v>
      </c>
      <c r="F14" s="101">
        <v>4907.666666666667</v>
      </c>
      <c r="G14" s="101" t="s">
        <v>131</v>
      </c>
      <c r="H14" s="97">
        <v>2010</v>
      </c>
      <c r="I14" s="102">
        <v>40318</v>
      </c>
      <c r="J14" s="103">
        <v>220</v>
      </c>
      <c r="K14" s="104">
        <v>43961</v>
      </c>
      <c r="L14" s="97" t="s">
        <v>77</v>
      </c>
      <c r="M14" s="97" t="s">
        <v>78</v>
      </c>
      <c r="N14" s="97" t="s">
        <v>138</v>
      </c>
      <c r="O14" s="105">
        <f>(C14-E14)*((Factores!$D$4*Factores!$L$4)+Factores!$N$4*Factores!$L$20+Factores!$P$4*Factores!$L$21)*Factores!$J$4*F14*Variables!$C$16*J14/365</f>
        <v>12441.689045638423</v>
      </c>
      <c r="Q14" s="106">
        <f>Factores!$J$4*C14*F14*(Factores!$D$4*Factores!$L$4+Factores!$N$4*Factores!$L$20+Factores!$P$4*Factores!$L$21)*Variables!$C$16*J14/365</f>
        <v>27160.078921793171</v>
      </c>
      <c r="R14" s="106">
        <f>Factores!$J$4*E14*F14*(Factores!$D$4*Factores!$L$4+Factores!$N$4*Factores!$L$20+Factores!$P$4*Factores!$L$21)*Variables!$C$16*J14/365</f>
        <v>14718.389876154741</v>
      </c>
      <c r="S14" s="106">
        <f t="shared" si="0"/>
        <v>12441.68904563843</v>
      </c>
      <c r="T14" s="106">
        <f t="shared" si="1"/>
        <v>0</v>
      </c>
      <c r="V14" s="107">
        <f>($C14-$E14)*$F14*Variables!$C$16*Factores!$J$4*1000*Factores!U$4/1000000*$J14/365</f>
        <v>907.1592450337896</v>
      </c>
      <c r="W14" s="107">
        <f>($C14-$E14)*$F14*Variables!$C$16*Factores!$J$4*1000*Factores!V$4/1000000*$J14/365</f>
        <v>11.33949056292237</v>
      </c>
      <c r="X14" s="107">
        <f>($C14-$E14)*$F14*Variables!$C$16*Factores!$J$4*1000*Factores!W$4/1000000*$J14/365</f>
        <v>136.0738867550684</v>
      </c>
      <c r="Y14" s="107">
        <f>($C14-$E14)*$F14*Variables!$C$16*Factores!$J$4*1000*Factores!X$4/1000000*$J14/365</f>
        <v>2.4946879238429212</v>
      </c>
      <c r="Z14" s="107">
        <f>($C14-$E14)*$F14*Variables!$C$16*Factores!$J$4*1000*Factores!Y$4/1000000*$J14/365</f>
        <v>172.36025655642001</v>
      </c>
      <c r="AA14" s="107">
        <f>($C14-$E14)*$F14*Variables!$C$16*Factores!$J$4*1000*Factores!Z$4/1000000*$J14/365</f>
        <v>167.82446033125103</v>
      </c>
      <c r="AB14" s="107">
        <f>($C14-$E14)*$F14*Variables!$C$16*Factores!$J$4*1000*Factores!AA$4/1000000*$J14/365</f>
        <v>16.782446033125105</v>
      </c>
    </row>
    <row r="15" spans="2:28" x14ac:dyDescent="0.2">
      <c r="B15" s="97" t="s">
        <v>73</v>
      </c>
      <c r="C15" s="98">
        <v>2.8233333333333328</v>
      </c>
      <c r="D15" s="99" t="s">
        <v>209</v>
      </c>
      <c r="E15" s="100">
        <v>1.53</v>
      </c>
      <c r="F15" s="101">
        <v>4907.666666666667</v>
      </c>
      <c r="G15" s="101" t="s">
        <v>132</v>
      </c>
      <c r="H15" s="97">
        <v>2010</v>
      </c>
      <c r="I15" s="102">
        <v>40224</v>
      </c>
      <c r="J15" s="103">
        <v>315</v>
      </c>
      <c r="K15" s="104">
        <v>43973</v>
      </c>
      <c r="L15" s="97" t="s">
        <v>77</v>
      </c>
      <c r="M15" s="97" t="s">
        <v>78</v>
      </c>
      <c r="N15" s="97" t="s">
        <v>79</v>
      </c>
      <c r="O15" s="105">
        <f>(C15-E15)*((Factores!$E$4*Factores!$L$4)+Factores!$N$4*Factores!$L$20+Factores!$P$4*Factores!$L$21)*Factores!$J$4*F15*Variables!$C$16*J15/365</f>
        <v>14904.729482183011</v>
      </c>
      <c r="Q15" s="106">
        <f>Factores!$J$4*C15*F15*(Factores!$E$4*Factores!$L$4+Factores!$N$4*Factores!$L$20+Factores!$P$4*Factores!$L$21)*Variables!$C$16*J15/365</f>
        <v>32536.870802600544</v>
      </c>
      <c r="R15" s="106">
        <f>Factores!$J$4*E15*F15*(Factores!$E$4*Factores!$L$4+Factores!$N$4*Factores!$L$20+Factores!$P$4*Factores!$L$21)*Variables!$C$16*J15/365</f>
        <v>17632.141320417537</v>
      </c>
      <c r="S15" s="106">
        <f t="shared" si="0"/>
        <v>14904.729482183007</v>
      </c>
      <c r="T15" s="106">
        <f t="shared" si="1"/>
        <v>0</v>
      </c>
      <c r="V15" s="107">
        <f>($C15-$E15)*$F15*Variables!$C$16*Factores!$J$4*1000*Factores!U$4/1000000*$J15/365</f>
        <v>1298.887100843835</v>
      </c>
      <c r="W15" s="107">
        <f>($C15-$E15)*$F15*Variables!$C$16*Factores!$J$4*1000*Factores!V$4/1000000*$J15/365</f>
        <v>16.236088760547936</v>
      </c>
      <c r="X15" s="107">
        <f>($C15-$E15)*$F15*Variables!$C$16*Factores!$J$4*1000*Factores!W$4/1000000*$J15/365</f>
        <v>194.83306512657524</v>
      </c>
      <c r="Y15" s="107">
        <f>($C15-$E15)*$F15*Variables!$C$16*Factores!$J$4*1000*Factores!X$4/1000000*$J15/365</f>
        <v>3.5719395273205463</v>
      </c>
      <c r="Z15" s="107">
        <f>($C15-$E15)*$F15*Variables!$C$16*Factores!$J$4*1000*Factores!Y$4/1000000*$J15/365</f>
        <v>246.78854916032864</v>
      </c>
      <c r="AA15" s="107">
        <f>($C15-$E15)*$F15*Variables!$C$16*Factores!$J$4*1000*Factores!Z$4/1000000*$J15/365</f>
        <v>240.2941136561094</v>
      </c>
      <c r="AB15" s="107">
        <f>($C15-$E15)*$F15*Variables!$C$16*Factores!$J$4*1000*Factores!AA$4/1000000*$J15/365</f>
        <v>24.029411365610944</v>
      </c>
    </row>
    <row r="16" spans="2:28" x14ac:dyDescent="0.2">
      <c r="B16" s="97" t="s">
        <v>73</v>
      </c>
      <c r="C16" s="98">
        <v>2.8233333333333328</v>
      </c>
      <c r="D16" s="99" t="s">
        <v>209</v>
      </c>
      <c r="E16" s="100">
        <v>1.53</v>
      </c>
      <c r="F16" s="101">
        <v>4907.666666666667</v>
      </c>
      <c r="G16" s="101" t="s">
        <v>133</v>
      </c>
      <c r="H16" s="97">
        <v>2010</v>
      </c>
      <c r="I16" s="102">
        <v>40346</v>
      </c>
      <c r="J16" s="103">
        <v>193</v>
      </c>
      <c r="K16" s="104">
        <v>43985</v>
      </c>
      <c r="L16" s="97" t="s">
        <v>77</v>
      </c>
      <c r="M16" s="97" t="s">
        <v>78</v>
      </c>
      <c r="N16" s="97" t="s">
        <v>138</v>
      </c>
      <c r="O16" s="105">
        <f>(C16-E16)*((Factores!$F$4*Factores!$L$4)+Factores!$N$4*Factores!$L$20+Factores!$P$4*Factores!$L$21)*Factores!$J$4*F16*Variables!$C$16*J16/365</f>
        <v>8240.7789026759274</v>
      </c>
      <c r="Q16" s="106">
        <f>Factores!$J$4*C16*F16*(Factores!$F$4*Factores!$L$4+Factores!$N$4*Factores!$L$20+Factores!$P$4*Factores!$L$21)*Variables!$C$16*J16/365</f>
        <v>17989.535388058022</v>
      </c>
      <c r="R16" s="106">
        <f>Factores!$J$4*E16*F16*(Factores!$F$4*Factores!$L$4+Factores!$N$4*Factores!$L$20+Factores!$P$4*Factores!$L$21)*Variables!$C$16*J16/365</f>
        <v>9748.7564853820932</v>
      </c>
      <c r="S16" s="106">
        <f t="shared" si="0"/>
        <v>8240.7789026759292</v>
      </c>
      <c r="T16" s="106">
        <f t="shared" si="1"/>
        <v>0</v>
      </c>
      <c r="V16" s="107">
        <f>($C16-$E16)*$F16*Variables!$C$16*Factores!$J$4*1000*Factores!U$4/1000000*$J16/365</f>
        <v>795.82606496146082</v>
      </c>
      <c r="W16" s="107">
        <f>($C16-$E16)*$F16*Variables!$C$16*Factores!$J$4*1000*Factores!V$4/1000000*$J16/365</f>
        <v>9.9478258120182588</v>
      </c>
      <c r="X16" s="107">
        <f>($C16-$E16)*$F16*Variables!$C$16*Factores!$J$4*1000*Factores!W$4/1000000*$J16/365</f>
        <v>119.37390974421911</v>
      </c>
      <c r="Y16" s="107">
        <f>($C16-$E16)*$F16*Variables!$C$16*Factores!$J$4*1000*Factores!X$4/1000000*$J16/365</f>
        <v>2.1885216786440171</v>
      </c>
      <c r="Z16" s="107">
        <f>($C16-$E16)*$F16*Variables!$C$16*Factores!$J$4*1000*Factores!Y$4/1000000*$J16/365</f>
        <v>151.20695234267754</v>
      </c>
      <c r="AA16" s="107">
        <f>($C16-$E16)*$F16*Variables!$C$16*Factores!$J$4*1000*Factores!Z$4/1000000*$J16/365</f>
        <v>147.22782201787021</v>
      </c>
      <c r="AB16" s="107">
        <f>($C16-$E16)*$F16*Variables!$C$16*Factores!$J$4*1000*Factores!AA$4/1000000*$J16/365</f>
        <v>14.722782201787025</v>
      </c>
    </row>
    <row r="17" spans="2:28" x14ac:dyDescent="0.2">
      <c r="B17" s="97" t="s">
        <v>73</v>
      </c>
      <c r="C17" s="98">
        <v>2.8233333333333328</v>
      </c>
      <c r="D17" s="99" t="s">
        <v>213</v>
      </c>
      <c r="E17" s="100">
        <v>1.9</v>
      </c>
      <c r="F17" s="101">
        <v>850.33333333333337</v>
      </c>
      <c r="G17" s="101" t="s">
        <v>131</v>
      </c>
      <c r="H17" s="97">
        <v>2010</v>
      </c>
      <c r="I17" s="102">
        <v>40318</v>
      </c>
      <c r="J17" s="103">
        <v>220</v>
      </c>
      <c r="K17" s="104">
        <v>43997</v>
      </c>
      <c r="L17" s="97" t="s">
        <v>77</v>
      </c>
      <c r="M17" s="97" t="s">
        <v>78</v>
      </c>
      <c r="N17" s="97" t="s">
        <v>79</v>
      </c>
      <c r="O17" s="105">
        <f>(C17-E17)*((Factores!$D$4*Factores!$L$4)+Factores!$N$4*Factores!$L$20+Factores!$P$4*Factores!$L$21)*Factores!$J$4*F17*Variables!$C$16*J17/365</f>
        <v>1539.0103228016799</v>
      </c>
      <c r="Q17" s="106">
        <f>Factores!$J$4*C17*F17*(Factores!$D$4*Factores!$L$4+Factores!$N$4*Factores!$L$20+Factores!$P$4*Factores!$L$21)*Variables!$C$16*J17/365</f>
        <v>4705.9268715271601</v>
      </c>
      <c r="R17" s="106">
        <f>Factores!$J$4*E17*F17*(Factores!$D$4*Factores!$L$4+Factores!$N$4*Factores!$L$20+Factores!$P$4*Factores!$L$21)*Variables!$C$16*J17/365</f>
        <v>3166.9165487254791</v>
      </c>
      <c r="S17" s="106">
        <f t="shared" si="0"/>
        <v>1539.010322801681</v>
      </c>
      <c r="T17" s="106">
        <f t="shared" si="1"/>
        <v>0</v>
      </c>
      <c r="V17" s="107">
        <f>($C17-$E17)*$F17*Variables!$C$16*Factores!$J$4*1000*Factores!U$4/1000000*$J17/365</f>
        <v>112.21365824292229</v>
      </c>
      <c r="W17" s="107">
        <f>($C17-$E17)*$F17*Variables!$C$16*Factores!$J$4*1000*Factores!V$4/1000000*$J17/365</f>
        <v>1.4026707280365287</v>
      </c>
      <c r="X17" s="107">
        <f>($C17-$E17)*$F17*Variables!$C$16*Factores!$J$4*1000*Factores!W$4/1000000*$J17/365</f>
        <v>16.832048736438345</v>
      </c>
      <c r="Y17" s="107">
        <f>($C17-$E17)*$F17*Variables!$C$16*Factores!$J$4*1000*Factores!X$4/1000000*$J17/365</f>
        <v>0.30858756016803635</v>
      </c>
      <c r="Z17" s="107">
        <f>($C17-$E17)*$F17*Variables!$C$16*Factores!$J$4*1000*Factores!Y$4/1000000*$J17/365</f>
        <v>21.320595066155239</v>
      </c>
      <c r="AA17" s="107">
        <f>($C17-$E17)*$F17*Variables!$C$16*Factores!$J$4*1000*Factores!Z$4/1000000*$J17/365</f>
        <v>20.759526774940628</v>
      </c>
      <c r="AB17" s="107">
        <f>($C17-$E17)*$F17*Variables!$C$16*Factores!$J$4*1000*Factores!AA$4/1000000*$J17/365</f>
        <v>2.0759526774940626</v>
      </c>
    </row>
    <row r="18" spans="2:28" x14ac:dyDescent="0.2">
      <c r="B18" s="97" t="s">
        <v>73</v>
      </c>
      <c r="C18" s="98">
        <v>2.8233333333333328</v>
      </c>
      <c r="D18" s="99" t="s">
        <v>213</v>
      </c>
      <c r="E18" s="100">
        <v>1.9</v>
      </c>
      <c r="F18" s="101">
        <v>850.33333333333337</v>
      </c>
      <c r="G18" s="101" t="s">
        <v>132</v>
      </c>
      <c r="H18" s="97">
        <v>2010</v>
      </c>
      <c r="I18" s="102">
        <v>40224</v>
      </c>
      <c r="J18" s="103">
        <v>315</v>
      </c>
      <c r="K18" s="104">
        <v>44009</v>
      </c>
      <c r="L18" s="97" t="s">
        <v>77</v>
      </c>
      <c r="M18" s="97" t="s">
        <v>78</v>
      </c>
      <c r="N18" s="97" t="s">
        <v>138</v>
      </c>
      <c r="O18" s="105">
        <f>(C18-E18)*((Factores!$E$4*Factores!$L$4)+Factores!$N$4*Factores!$L$20+Factores!$P$4*Factores!$L$21)*Factores!$J$4*F18*Variables!$C$16*J18/365</f>
        <v>1843.6831564832869</v>
      </c>
      <c r="Q18" s="106">
        <f>Factores!$J$4*C18*F18*(Factores!$E$4*Factores!$L$4+Factores!$N$4*Factores!$L$20+Factores!$P$4*Factores!$L$21)*Variables!$C$16*J18/365</f>
        <v>5637.5438033983564</v>
      </c>
      <c r="R18" s="106">
        <f>Factores!$J$4*E18*F18*(Factores!$E$4*Factores!$L$4+Factores!$N$4*Factores!$L$20+Factores!$P$4*Factores!$L$21)*Variables!$C$16*J18/365</f>
        <v>3793.8606469150677</v>
      </c>
      <c r="S18" s="106">
        <f t="shared" si="0"/>
        <v>1843.6831564832887</v>
      </c>
      <c r="T18" s="106">
        <f t="shared" si="1"/>
        <v>-1.8189894035458565E-12</v>
      </c>
      <c r="V18" s="107">
        <f>($C18-$E18)*$F18*Variables!$C$16*Factores!$J$4*1000*Factores!U$4/1000000*$J18/365</f>
        <v>160.66955612054784</v>
      </c>
      <c r="W18" s="107">
        <f>($C18-$E18)*$F18*Variables!$C$16*Factores!$J$4*1000*Factores!V$4/1000000*$J18/365</f>
        <v>2.0083694515068484</v>
      </c>
      <c r="X18" s="107">
        <f>($C18-$E18)*$F18*Variables!$C$16*Factores!$J$4*1000*Factores!W$4/1000000*$J18/365</f>
        <v>24.100433418082176</v>
      </c>
      <c r="Y18" s="107">
        <f>($C18-$E18)*$F18*Variables!$C$16*Factores!$J$4*1000*Factores!X$4/1000000*$J18/365</f>
        <v>0.44184127933150663</v>
      </c>
      <c r="Z18" s="107">
        <f>($C18-$E18)*$F18*Variables!$C$16*Factores!$J$4*1000*Factores!Y$4/1000000*$J18/365</f>
        <v>30.527215662904091</v>
      </c>
      <c r="AA18" s="107">
        <f>($C18-$E18)*$F18*Variables!$C$16*Factores!$J$4*1000*Factores!Z$4/1000000*$J18/365</f>
        <v>29.723867882301356</v>
      </c>
      <c r="AB18" s="107">
        <f>($C18-$E18)*$F18*Variables!$C$16*Factores!$J$4*1000*Factores!AA$4/1000000*$J18/365</f>
        <v>2.9723867882301351</v>
      </c>
    </row>
    <row r="19" spans="2:28" x14ac:dyDescent="0.2">
      <c r="B19" s="97" t="s">
        <v>73</v>
      </c>
      <c r="C19" s="98">
        <v>2.8233333333333328</v>
      </c>
      <c r="D19" s="99" t="s">
        <v>213</v>
      </c>
      <c r="E19" s="100">
        <v>1.9</v>
      </c>
      <c r="F19" s="101">
        <v>850.33333333333337</v>
      </c>
      <c r="G19" s="101" t="s">
        <v>133</v>
      </c>
      <c r="H19" s="97">
        <v>2010</v>
      </c>
      <c r="I19" s="102">
        <v>40346</v>
      </c>
      <c r="J19" s="103">
        <v>193</v>
      </c>
      <c r="K19" s="104">
        <v>44021</v>
      </c>
      <c r="L19" s="97" t="s">
        <v>77</v>
      </c>
      <c r="M19" s="97" t="s">
        <v>78</v>
      </c>
      <c r="N19" s="97" t="s">
        <v>79</v>
      </c>
      <c r="O19" s="105">
        <f>(C19-E19)*((Factores!$F$4*Factores!$L$4)+Factores!$N$4*Factores!$L$20+Factores!$P$4*Factores!$L$21)*Factores!$J$4*F19*Variables!$C$16*J19/365</f>
        <v>1019.3667236516088</v>
      </c>
      <c r="Q19" s="106">
        <f>Factores!$J$4*C19*F19*(Factores!$F$4*Factores!$L$4+Factores!$N$4*Factores!$L$20+Factores!$P$4*Factores!$L$21)*Variables!$C$16*J19/365</f>
        <v>3116.9805593245951</v>
      </c>
      <c r="R19" s="106">
        <f>Factores!$J$4*E19*F19*(Factores!$F$4*Factores!$L$4+Factores!$N$4*Factores!$L$20+Factores!$P$4*Factores!$L$21)*Variables!$C$16*J19/365</f>
        <v>2097.6138356729862</v>
      </c>
      <c r="S19" s="106">
        <f t="shared" si="0"/>
        <v>1019.3667236516089</v>
      </c>
      <c r="T19" s="106">
        <f t="shared" si="1"/>
        <v>0</v>
      </c>
      <c r="V19" s="107">
        <f>($C19-$E19)*$F19*Variables!$C$16*Factores!$J$4*1000*Factores!U$4/1000000*$J19/365</f>
        <v>98.441982004018215</v>
      </c>
      <c r="W19" s="107">
        <f>($C19-$E19)*$F19*Variables!$C$16*Factores!$J$4*1000*Factores!V$4/1000000*$J19/365</f>
        <v>1.2305247750502275</v>
      </c>
      <c r="X19" s="107">
        <f>($C19-$E19)*$F19*Variables!$C$16*Factores!$J$4*1000*Factores!W$4/1000000*$J19/365</f>
        <v>14.76629730060273</v>
      </c>
      <c r="Y19" s="107">
        <f>($C19-$E19)*$F19*Variables!$C$16*Factores!$J$4*1000*Factores!X$4/1000000*$J19/365</f>
        <v>0.27071545051105006</v>
      </c>
      <c r="Z19" s="107">
        <f>($C19-$E19)*$F19*Variables!$C$16*Factores!$J$4*1000*Factores!Y$4/1000000*$J19/365</f>
        <v>18.703976580763459</v>
      </c>
      <c r="AA19" s="107">
        <f>($C19-$E19)*$F19*Variables!$C$16*Factores!$J$4*1000*Factores!Z$4/1000000*$J19/365</f>
        <v>18.211766670743369</v>
      </c>
      <c r="AB19" s="107">
        <f>($C19-$E19)*$F19*Variables!$C$16*Factores!$J$4*1000*Factores!AA$4/1000000*$J19/365</f>
        <v>1.8211766670743366</v>
      </c>
    </row>
    <row r="20" spans="2:28" x14ac:dyDescent="0.2">
      <c r="B20" s="97" t="s">
        <v>73</v>
      </c>
      <c r="C20" s="98">
        <v>2.8233333333333328</v>
      </c>
      <c r="D20" s="99" t="s">
        <v>214</v>
      </c>
      <c r="E20" s="100">
        <v>2</v>
      </c>
      <c r="F20" s="101">
        <v>629.33333333333337</v>
      </c>
      <c r="G20" s="101" t="s">
        <v>131</v>
      </c>
      <c r="H20" s="97">
        <v>2010</v>
      </c>
      <c r="I20" s="102">
        <v>40318</v>
      </c>
      <c r="J20" s="103">
        <v>220</v>
      </c>
      <c r="K20" s="104">
        <v>44033</v>
      </c>
      <c r="L20" s="97" t="s">
        <v>77</v>
      </c>
      <c r="M20" s="97" t="s">
        <v>78</v>
      </c>
      <c r="N20" s="97" t="s">
        <v>138</v>
      </c>
      <c r="O20" s="105">
        <f>(C20-E20)*((Factores!$D$4*Factores!$L$4)+Factores!$N$4*Factores!$L$20+Factores!$P$4*Factores!$L$21)*Factores!$J$4*F20*Variables!$C$16*J20/365</f>
        <v>1015.6644423352686</v>
      </c>
      <c r="Q20" s="106">
        <f>Factores!$J$4*C20*F20*(Factores!$D$4*Factores!$L$4+Factores!$N$4*Factores!$L$20+Factores!$P$4*Factores!$L$21)*Variables!$C$16*J20/365</f>
        <v>3482.8655168338996</v>
      </c>
      <c r="R20" s="106">
        <f>Factores!$J$4*E20*F20*(Factores!$D$4*Factores!$L$4+Factores!$N$4*Factores!$L$20+Factores!$P$4*Factores!$L$21)*Variables!$C$16*J20/365</f>
        <v>2467.2010744986301</v>
      </c>
      <c r="S20" s="106">
        <f t="shared" si="0"/>
        <v>1015.6644423352695</v>
      </c>
      <c r="T20" s="106">
        <f t="shared" si="1"/>
        <v>-9.0949470177292824E-13</v>
      </c>
      <c r="V20" s="107">
        <f>($C20-$E20)*$F20*Variables!$C$16*Factores!$J$4*1000*Factores!U$4/1000000*$J20/365</f>
        <v>74.055008555251092</v>
      </c>
      <c r="W20" s="107">
        <f>($C20-$E20)*$F20*Variables!$C$16*Factores!$J$4*1000*Factores!V$4/1000000*$J20/365</f>
        <v>0.92568760694063867</v>
      </c>
      <c r="X20" s="107">
        <f>($C20-$E20)*$F20*Variables!$C$16*Factores!$J$4*1000*Factores!W$4/1000000*$J20/365</f>
        <v>11.108251283287665</v>
      </c>
      <c r="Y20" s="107">
        <f>($C20-$E20)*$F20*Variables!$C$16*Factores!$J$4*1000*Factores!X$4/1000000*$J20/365</f>
        <v>0.20365127352694051</v>
      </c>
      <c r="Z20" s="107">
        <f>($C20-$E20)*$F20*Variables!$C$16*Factores!$J$4*1000*Factores!Y$4/1000000*$J20/365</f>
        <v>14.070451625497707</v>
      </c>
      <c r="AA20" s="107">
        <f>($C20-$E20)*$F20*Variables!$C$16*Factores!$J$4*1000*Factores!Z$4/1000000*$J20/365</f>
        <v>13.700176582721451</v>
      </c>
      <c r="AB20" s="107">
        <f>($C20-$E20)*$F20*Variables!$C$16*Factores!$J$4*1000*Factores!AA$4/1000000*$J20/365</f>
        <v>1.3700176582721453</v>
      </c>
    </row>
    <row r="21" spans="2:28" x14ac:dyDescent="0.2">
      <c r="B21" s="97" t="s">
        <v>73</v>
      </c>
      <c r="C21" s="98">
        <v>2.8233333333333328</v>
      </c>
      <c r="D21" s="99" t="s">
        <v>214</v>
      </c>
      <c r="E21" s="100">
        <v>2</v>
      </c>
      <c r="F21" s="101">
        <v>629.33333333333337</v>
      </c>
      <c r="G21" s="101" t="s">
        <v>132</v>
      </c>
      <c r="H21" s="97">
        <v>2010</v>
      </c>
      <c r="I21" s="102">
        <v>40224</v>
      </c>
      <c r="J21" s="103">
        <v>315</v>
      </c>
      <c r="K21" s="104">
        <v>44045</v>
      </c>
      <c r="L21" s="97" t="s">
        <v>77</v>
      </c>
      <c r="M21" s="97" t="s">
        <v>78</v>
      </c>
      <c r="N21" s="97" t="s">
        <v>79</v>
      </c>
      <c r="O21" s="105">
        <f>(C21-E21)*((Factores!$E$4*Factores!$L$4)+Factores!$N$4*Factores!$L$20+Factores!$P$4*Factores!$L$21)*Factores!$J$4*F21*Variables!$C$16*J21/365</f>
        <v>1216.7322059046569</v>
      </c>
      <c r="Q21" s="106">
        <f>Factores!$J$4*C21*F21*(Factores!$E$4*Factores!$L$4+Factores!$N$4*Factores!$L$20+Factores!$P$4*Factores!$L$21)*Variables!$C$16*J21/365</f>
        <v>4172.3569975758892</v>
      </c>
      <c r="R21" s="106">
        <f>Factores!$J$4*E21*F21*(Factores!$E$4*Factores!$L$4+Factores!$N$4*Factores!$L$20+Factores!$P$4*Factores!$L$21)*Variables!$C$16*J21/365</f>
        <v>2955.6247916712337</v>
      </c>
      <c r="S21" s="106">
        <f t="shared" si="0"/>
        <v>1216.7322059046555</v>
      </c>
      <c r="T21" s="106">
        <f t="shared" si="1"/>
        <v>0</v>
      </c>
      <c r="V21" s="107">
        <f>($C21-$E21)*$F21*Variables!$C$16*Factores!$J$4*1000*Factores!U$4/1000000*$J21/365</f>
        <v>106.03330770410952</v>
      </c>
      <c r="W21" s="107">
        <f>($C21-$E21)*$F21*Variables!$C$16*Factores!$J$4*1000*Factores!V$4/1000000*$J21/365</f>
        <v>1.3254163463013691</v>
      </c>
      <c r="X21" s="107">
        <f>($C21-$E21)*$F21*Variables!$C$16*Factores!$J$4*1000*Factores!W$4/1000000*$J21/365</f>
        <v>15.904996155616429</v>
      </c>
      <c r="Y21" s="107">
        <f>($C21-$E21)*$F21*Variables!$C$16*Factores!$J$4*1000*Factores!X$4/1000000*$J21/365</f>
        <v>0.29159159618630121</v>
      </c>
      <c r="Z21" s="107">
        <f>($C21-$E21)*$F21*Variables!$C$16*Factores!$J$4*1000*Factores!Y$4/1000000*$J21/365</f>
        <v>20.146328463780812</v>
      </c>
      <c r="AA21" s="107">
        <f>($C21-$E21)*$F21*Variables!$C$16*Factores!$J$4*1000*Factores!Z$4/1000000*$J21/365</f>
        <v>19.616161925260258</v>
      </c>
      <c r="AB21" s="107">
        <f>($C21-$E21)*$F21*Variables!$C$16*Factores!$J$4*1000*Factores!AA$4/1000000*$J21/365</f>
        <v>1.961616192526026</v>
      </c>
    </row>
    <row r="22" spans="2:28" x14ac:dyDescent="0.2">
      <c r="B22" s="97" t="s">
        <v>73</v>
      </c>
      <c r="C22" s="98">
        <v>2.8233333333333328</v>
      </c>
      <c r="D22" s="99" t="s">
        <v>214</v>
      </c>
      <c r="E22" s="100">
        <v>2</v>
      </c>
      <c r="F22" s="101">
        <v>629.33333333333337</v>
      </c>
      <c r="G22" s="101" t="s">
        <v>133</v>
      </c>
      <c r="H22" s="97">
        <v>2010</v>
      </c>
      <c r="I22" s="102">
        <v>40346</v>
      </c>
      <c r="J22" s="103">
        <v>193</v>
      </c>
      <c r="K22" s="104">
        <v>44057</v>
      </c>
      <c r="L22" s="97" t="s">
        <v>77</v>
      </c>
      <c r="M22" s="97" t="s">
        <v>78</v>
      </c>
      <c r="N22" s="97" t="s">
        <v>138</v>
      </c>
      <c r="O22" s="105">
        <f>(C22-E22)*((Factores!$F$4*Factores!$L$4)+Factores!$N$4*Factores!$L$20+Factores!$P$4*Factores!$L$21)*Factores!$J$4*F22*Variables!$C$16*J22/365</f>
        <v>672.72747919453468</v>
      </c>
      <c r="Q22" s="106">
        <f>Factores!$J$4*C22*F22*(Factores!$F$4*Factores!$L$4+Factores!$N$4*Factores!$L$20+Factores!$P$4*Factores!$L$21)*Variables!$C$16*J22/365</f>
        <v>2306.8832991002882</v>
      </c>
      <c r="R22" s="106">
        <f>Factores!$J$4*E22*F22*(Factores!$F$4*Factores!$L$4+Factores!$N$4*Factores!$L$20+Factores!$P$4*Factores!$L$21)*Variables!$C$16*J22/365</f>
        <v>1634.1558199057538</v>
      </c>
      <c r="S22" s="106">
        <f t="shared" si="0"/>
        <v>672.72747919453445</v>
      </c>
      <c r="T22" s="106">
        <f t="shared" si="1"/>
        <v>0</v>
      </c>
      <c r="V22" s="107">
        <f>($C22-$E22)*$F22*Variables!$C$16*Factores!$J$4*1000*Factores!U$4/1000000*$J22/365</f>
        <v>64.966439323470283</v>
      </c>
      <c r="W22" s="107">
        <f>($C22-$E22)*$F22*Variables!$C$16*Factores!$J$4*1000*Factores!V$4/1000000*$J22/365</f>
        <v>0.81208049154337836</v>
      </c>
      <c r="X22" s="107">
        <f>($C22-$E22)*$F22*Variables!$C$16*Factores!$J$4*1000*Factores!W$4/1000000*$J22/365</f>
        <v>9.7449658985205403</v>
      </c>
      <c r="Y22" s="107">
        <f>($C22-$E22)*$F22*Variables!$C$16*Factores!$J$4*1000*Factores!X$4/1000000*$J22/365</f>
        <v>0.17865770813954326</v>
      </c>
      <c r="Z22" s="107">
        <f>($C22-$E22)*$F22*Variables!$C$16*Factores!$J$4*1000*Factores!Y$4/1000000*$J22/365</f>
        <v>12.343623471459352</v>
      </c>
      <c r="AA22" s="107">
        <f>($C22-$E22)*$F22*Variables!$C$16*Factores!$J$4*1000*Factores!Z$4/1000000*$J22/365</f>
        <v>12.018791274841998</v>
      </c>
      <c r="AB22" s="107">
        <f>($C22-$E22)*$F22*Variables!$C$16*Factores!$J$4*1000*Factores!AA$4/1000000*$J22/365</f>
        <v>1.2018791274842002</v>
      </c>
    </row>
    <row r="23" spans="2:28" x14ac:dyDescent="0.2">
      <c r="B23" s="220" t="s">
        <v>224</v>
      </c>
      <c r="C23" s="221"/>
      <c r="D23" s="221"/>
      <c r="E23" s="221"/>
      <c r="F23" s="221"/>
      <c r="G23" s="221"/>
      <c r="H23" s="221"/>
      <c r="I23" s="221"/>
      <c r="J23" s="222"/>
      <c r="K23" s="104">
        <v>44069</v>
      </c>
      <c r="L23" s="97" t="s">
        <v>77</v>
      </c>
      <c r="M23" s="97" t="s">
        <v>78</v>
      </c>
      <c r="N23" s="97" t="s">
        <v>79</v>
      </c>
      <c r="O23" s="108">
        <f>SUM(O5:O22)</f>
        <v>61072.470105957225</v>
      </c>
      <c r="Q23" s="106"/>
      <c r="R23" s="106"/>
      <c r="S23" s="106"/>
      <c r="T23" s="106"/>
      <c r="V23" s="109">
        <f>SUM(V5:V22)</f>
        <v>5151.6212657914139</v>
      </c>
      <c r="W23" s="109">
        <f t="shared" ref="W23:AB23" si="2">SUM(W5:W22)</f>
        <v>64.395265822392659</v>
      </c>
      <c r="X23" s="109">
        <f t="shared" si="2"/>
        <v>772.74318986871185</v>
      </c>
      <c r="Y23" s="109">
        <f t="shared" si="2"/>
        <v>14.166958480926386</v>
      </c>
      <c r="Z23" s="109">
        <f t="shared" si="2"/>
        <v>978.80804050036841</v>
      </c>
      <c r="AA23" s="109">
        <f t="shared" si="2"/>
        <v>953.04993417141122</v>
      </c>
      <c r="AB23" s="109">
        <f t="shared" si="2"/>
        <v>95.304993417141134</v>
      </c>
    </row>
    <row r="24" spans="2:28" x14ac:dyDescent="0.2">
      <c r="B24" s="97" t="s">
        <v>73</v>
      </c>
      <c r="C24" s="98">
        <v>2.8233333333333328</v>
      </c>
      <c r="D24" s="99" t="s">
        <v>71</v>
      </c>
      <c r="E24" s="100">
        <v>1.42</v>
      </c>
      <c r="F24" s="101">
        <v>3150.333333333333</v>
      </c>
      <c r="G24" s="101" t="s">
        <v>131</v>
      </c>
      <c r="H24" s="97">
        <v>2011</v>
      </c>
      <c r="I24" s="102">
        <v>44012</v>
      </c>
      <c r="J24" s="103">
        <v>180</v>
      </c>
      <c r="K24" s="104">
        <v>44081</v>
      </c>
      <c r="L24" s="97" t="s">
        <v>77</v>
      </c>
      <c r="M24" s="97" t="s">
        <v>78</v>
      </c>
      <c r="N24" s="97" t="s">
        <v>138</v>
      </c>
      <c r="O24" s="105">
        <f>(C24-E24)*((Factores!$D$5*Factores!$L$4)+Factores!$N$4*Factores!$L$20+Factores!$P$4*Factores!$L$21)*Factores!$J$4*F24*Variables!$C$16*J24/365</f>
        <v>7234.9924009985698</v>
      </c>
      <c r="Q24" s="106">
        <f>Factores!$J$4*C24*F24*(Factores!$D$5*Factores!$L$4+Factores!$N$4*Factores!$L$20+Factores!$P$4*Factores!$L$21)*Variables!$C$16*J24/365</f>
        <v>14555.911077543447</v>
      </c>
      <c r="R24" s="106">
        <f>Factores!$J$4*E24*F24*(Factores!$D$5*Factores!$L$4+Factores!$N$4*Factores!$L$20+Factores!$P$4*Factores!$L$21)*Variables!$C$16*J24/365</f>
        <v>7320.9186765448749</v>
      </c>
      <c r="S24" s="106">
        <f t="shared" ref="S24:S39" si="3">Q24-R24</f>
        <v>7234.9924009985725</v>
      </c>
      <c r="T24" s="106">
        <f>O24-S24</f>
        <v>0</v>
      </c>
      <c r="V24" s="107">
        <f>($C24-$E24)*$F24*Variables!$C$16*Factores!$J$4*1000*Factores!U$4/1000000*$J24/365</f>
        <v>516.96980357260236</v>
      </c>
      <c r="W24" s="107">
        <f>($C24-$E24)*$F24*Variables!$C$16*Factores!$J$4*1000*Factores!V$4/1000000*$J24/365</f>
        <v>6.4621225446575297</v>
      </c>
      <c r="X24" s="107">
        <f>($C24-$E24)*$F24*Variables!$C$16*Factores!$J$4*1000*Factores!W$4/1000000*$J24/365</f>
        <v>77.54547053589036</v>
      </c>
      <c r="Y24" s="107">
        <f>($C24-$E24)*$F24*Variables!$C$16*Factores!$J$4*1000*Factores!X$4/1000000*$J24/365</f>
        <v>1.4216669598246567</v>
      </c>
      <c r="Z24" s="107">
        <f>($C24-$E24)*$F24*Variables!$C$16*Factores!$J$4*1000*Factores!Y$4/1000000*$J24/365</f>
        <v>98.224262678794474</v>
      </c>
      <c r="AA24" s="107">
        <f>($C24-$E24)*$F24*Variables!$C$16*Factores!$J$4*1000*Factores!Z$4/1000000*$J24/365</f>
        <v>95.639413660931439</v>
      </c>
      <c r="AB24" s="107">
        <f>($C24-$E24)*$F24*Variables!$C$16*Factores!$J$4*1000*Factores!AA$4/1000000*$J24/365</f>
        <v>9.5639413660931449</v>
      </c>
    </row>
    <row r="25" spans="2:28" x14ac:dyDescent="0.2">
      <c r="B25" s="97" t="s">
        <v>73</v>
      </c>
      <c r="C25" s="98">
        <v>2.8233333333333328</v>
      </c>
      <c r="D25" s="99" t="s">
        <v>71</v>
      </c>
      <c r="E25" s="100">
        <v>1.42</v>
      </c>
      <c r="F25" s="101">
        <v>3150.333333333333</v>
      </c>
      <c r="G25" s="101" t="s">
        <v>132</v>
      </c>
      <c r="H25" s="97">
        <v>2011</v>
      </c>
      <c r="I25" s="102">
        <v>43889</v>
      </c>
      <c r="J25" s="103">
        <v>305</v>
      </c>
      <c r="K25" s="104">
        <v>44093</v>
      </c>
      <c r="L25" s="97" t="s">
        <v>77</v>
      </c>
      <c r="M25" s="97" t="s">
        <v>78</v>
      </c>
      <c r="N25" s="97" t="s">
        <v>79</v>
      </c>
      <c r="O25" s="105">
        <f>(C25-E25)*((Factores!$E$5*Factores!$L$4)+Factores!$N$4*Factores!$L$20+Factores!$P$4*Factores!$L$21)*Factores!$J$4*F25*Variables!$C$16*J25/365</f>
        <v>9561.2847157136748</v>
      </c>
      <c r="Q25" s="106">
        <f>Factores!$J$4*C25*F25*(Factores!$E$5*Factores!$L$4+Factores!$N$4*Factores!$L$20+Factores!$P$4*Factores!$L$21)*Variables!$C$16*J25/365</f>
        <v>19236.123881732743</v>
      </c>
      <c r="R25" s="106">
        <f>Factores!$J$4*E25*F25*(Factores!$E$5*Factores!$L$4+Factores!$N$4*Factores!$L$20+Factores!$P$4*Factores!$L$21)*Variables!$C$16*J25/365</f>
        <v>9674.8391660190682</v>
      </c>
      <c r="S25" s="106">
        <f t="shared" si="3"/>
        <v>9561.2847157136748</v>
      </c>
      <c r="T25" s="106">
        <f t="shared" ref="T25:T41" si="4">O25-S25</f>
        <v>0</v>
      </c>
      <c r="V25" s="107">
        <f>($C25-$E25)*$F25*Variables!$C$16*Factores!$J$4*1000*Factores!U$4/1000000*$J25/365</f>
        <v>875.97661160913185</v>
      </c>
      <c r="W25" s="107">
        <f>($C25-$E25)*$F25*Variables!$C$16*Factores!$J$4*1000*Factores!V$4/1000000*$J25/365</f>
        <v>10.949707645114147</v>
      </c>
      <c r="X25" s="107">
        <f>($C25-$E25)*$F25*Variables!$C$16*Factores!$J$4*1000*Factores!W$4/1000000*$J25/365</f>
        <v>131.39649174136977</v>
      </c>
      <c r="Y25" s="107">
        <f>($C25-$E25)*$F25*Variables!$C$16*Factores!$J$4*1000*Factores!X$4/1000000*$J25/365</f>
        <v>2.4089356819251124</v>
      </c>
      <c r="Z25" s="107">
        <f>($C25-$E25)*$F25*Variables!$C$16*Factores!$J$4*1000*Factores!Y$4/1000000*$J25/365</f>
        <v>166.43555620573508</v>
      </c>
      <c r="AA25" s="107">
        <f>($C25-$E25)*$F25*Variables!$C$16*Factores!$J$4*1000*Factores!Z$4/1000000*$J25/365</f>
        <v>162.05567314768939</v>
      </c>
      <c r="AB25" s="107">
        <f>($C25-$E25)*$F25*Variables!$C$16*Factores!$J$4*1000*Factores!AA$4/1000000*$J25/365</f>
        <v>16.205567314768938</v>
      </c>
    </row>
    <row r="26" spans="2:28" x14ac:dyDescent="0.2">
      <c r="B26" s="97" t="s">
        <v>73</v>
      </c>
      <c r="C26" s="98">
        <v>2.8233333333333328</v>
      </c>
      <c r="D26" s="99" t="s">
        <v>71</v>
      </c>
      <c r="E26" s="100">
        <v>1.42</v>
      </c>
      <c r="F26" s="101">
        <v>3150.333333333333</v>
      </c>
      <c r="G26" s="101" t="s">
        <v>133</v>
      </c>
      <c r="H26" s="97">
        <v>2011</v>
      </c>
      <c r="I26" s="102">
        <v>43936</v>
      </c>
      <c r="J26" s="103">
        <v>288</v>
      </c>
      <c r="K26" s="104">
        <v>44105</v>
      </c>
      <c r="L26" s="97" t="s">
        <v>77</v>
      </c>
      <c r="M26" s="97" t="s">
        <v>78</v>
      </c>
      <c r="N26" s="97" t="s">
        <v>138</v>
      </c>
      <c r="O26" s="105">
        <f>(C26-E26)*((Factores!$F$5*Factores!$L$4)+Factores!$N$4*Factores!$L$20+Factores!$P$4*Factores!$L$21)*Factores!$J$4*F26*Variables!$C$16*J26/365</f>
        <v>6480.7334575861451</v>
      </c>
      <c r="Q26" s="106">
        <f>Factores!$J$4*C26*F26*(Factores!$F$5*Factores!$L$4+Factores!$N$4*Factores!$L$20+Factores!$P$4*Factores!$L$21)*Variables!$C$16*J26/365</f>
        <v>13038.435246022484</v>
      </c>
      <c r="R26" s="106">
        <f>Factores!$J$4*E26*F26*(Factores!$F$5*Factores!$L$4+Factores!$N$4*Factores!$L$20+Factores!$P$4*Factores!$L$21)*Variables!$C$16*J26/365</f>
        <v>6557.7017884363395</v>
      </c>
      <c r="S26" s="106">
        <f t="shared" si="3"/>
        <v>6480.7334575861441</v>
      </c>
      <c r="T26" s="106">
        <f t="shared" si="4"/>
        <v>0</v>
      </c>
      <c r="V26" s="107">
        <f>($C26-$E26)*$F26*Variables!$C$16*Factores!$J$4*1000*Factores!U$4/1000000*$J26/365</f>
        <v>827.1516857161638</v>
      </c>
      <c r="W26" s="107">
        <f>($C26-$E26)*$F26*Variables!$C$16*Factores!$J$4*1000*Factores!V$4/1000000*$J26/365</f>
        <v>10.339396071452049</v>
      </c>
      <c r="X26" s="107">
        <f>($C26-$E26)*$F26*Variables!$C$16*Factores!$J$4*1000*Factores!W$4/1000000*$J26/365</f>
        <v>124.07275285742458</v>
      </c>
      <c r="Y26" s="107">
        <f>($C26-$E26)*$F26*Variables!$C$16*Factores!$J$4*1000*Factores!X$4/1000000*$J26/365</f>
        <v>2.2746671357194508</v>
      </c>
      <c r="Z26" s="107">
        <f>($C26-$E26)*$F26*Variables!$C$16*Factores!$J$4*1000*Factores!Y$4/1000000*$J26/365</f>
        <v>157.15882028607115</v>
      </c>
      <c r="AA26" s="107">
        <f>($C26-$E26)*$F26*Variables!$C$16*Factores!$J$4*1000*Factores!Z$4/1000000*$J26/365</f>
        <v>153.02306185749032</v>
      </c>
      <c r="AB26" s="107">
        <f>($C26-$E26)*$F26*Variables!$C$16*Factores!$J$4*1000*Factores!AA$4/1000000*$J26/365</f>
        <v>15.302306185749032</v>
      </c>
    </row>
    <row r="27" spans="2:28" x14ac:dyDescent="0.2">
      <c r="B27" s="97" t="s">
        <v>73</v>
      </c>
      <c r="C27" s="98">
        <v>2.8233333333333328</v>
      </c>
      <c r="D27" s="99" t="s">
        <v>210</v>
      </c>
      <c r="E27" s="100">
        <v>0.84</v>
      </c>
      <c r="F27" s="101">
        <v>798.33333333333337</v>
      </c>
      <c r="G27" s="101" t="s">
        <v>131</v>
      </c>
      <c r="H27" s="97">
        <v>2011</v>
      </c>
      <c r="I27" s="102">
        <v>44012</v>
      </c>
      <c r="J27" s="103">
        <v>180</v>
      </c>
      <c r="K27" s="104">
        <v>44117</v>
      </c>
      <c r="L27" s="97" t="s">
        <v>77</v>
      </c>
      <c r="M27" s="97" t="s">
        <v>78</v>
      </c>
      <c r="N27" s="97" t="s">
        <v>79</v>
      </c>
      <c r="O27" s="105">
        <f>(C27-E27)*((Factores!$D$5*Factores!$L$4)+Factores!$N$4*Factores!$L$20+Factores!$P$4*Factores!$L$21)*Factores!$J$4*F27*Variables!$C$16*J27/365</f>
        <v>2591.1986204712321</v>
      </c>
      <c r="Q27" s="106">
        <f>Factores!$J$4*C27*F27*(Factores!$D$5*Factores!$L$4+Factores!$N$4*Factores!$L$20+Factores!$P$4*Factores!$L$21)*Variables!$C$16*J27/365</f>
        <v>3688.6474479649305</v>
      </c>
      <c r="R27" s="106">
        <f>Factores!$J$4*E27*F27*(Factores!$D$5*Factores!$L$4+Factores!$N$4*Factores!$L$20+Factores!$P$4*Factores!$L$21)*Variables!$C$16*J27/365</f>
        <v>1097.4488274936984</v>
      </c>
      <c r="S27" s="106">
        <f t="shared" si="3"/>
        <v>2591.1986204712321</v>
      </c>
      <c r="T27" s="106">
        <f t="shared" si="4"/>
        <v>0</v>
      </c>
      <c r="V27" s="107">
        <f>($C27-$E27)*$F27*Variables!$C$16*Factores!$J$4*1000*Factores!U$4/1000000*$J27/365</f>
        <v>185.15174136986295</v>
      </c>
      <c r="W27" s="107">
        <f>($C27-$E27)*$F27*Variables!$C$16*Factores!$J$4*1000*Factores!V$4/1000000*$J27/365</f>
        <v>2.314396767123287</v>
      </c>
      <c r="X27" s="107">
        <f>($C27-$E27)*$F27*Variables!$C$16*Factores!$J$4*1000*Factores!W$4/1000000*$J27/365</f>
        <v>27.772761205479444</v>
      </c>
      <c r="Y27" s="107">
        <f>($C27-$E27)*$F27*Variables!$C$16*Factores!$J$4*1000*Factores!X$4/1000000*$J27/365</f>
        <v>0.50916728876712314</v>
      </c>
      <c r="Z27" s="107">
        <f>($C27-$E27)*$F27*Variables!$C$16*Factores!$J$4*1000*Factores!Y$4/1000000*$J27/365</f>
        <v>35.178830860273955</v>
      </c>
      <c r="AA27" s="107">
        <f>($C27-$E27)*$F27*Variables!$C$16*Factores!$J$4*1000*Factores!Z$4/1000000*$J27/365</f>
        <v>34.253072153424647</v>
      </c>
      <c r="AB27" s="107">
        <f>($C27-$E27)*$F27*Variables!$C$16*Factores!$J$4*1000*Factores!AA$4/1000000*$J27/365</f>
        <v>3.4253072153424653</v>
      </c>
    </row>
    <row r="28" spans="2:28" x14ac:dyDescent="0.2">
      <c r="B28" s="97" t="s">
        <v>73</v>
      </c>
      <c r="C28" s="98">
        <v>2.8233333333333328</v>
      </c>
      <c r="D28" s="99" t="s">
        <v>210</v>
      </c>
      <c r="E28" s="100">
        <v>0.84</v>
      </c>
      <c r="F28" s="101">
        <v>798.33333333333337</v>
      </c>
      <c r="G28" s="101" t="s">
        <v>132</v>
      </c>
      <c r="H28" s="97">
        <v>2011</v>
      </c>
      <c r="I28" s="102">
        <v>43889</v>
      </c>
      <c r="J28" s="103">
        <v>305</v>
      </c>
      <c r="K28" s="104">
        <v>44129</v>
      </c>
      <c r="L28" s="97" t="s">
        <v>77</v>
      </c>
      <c r="M28" s="97" t="s">
        <v>78</v>
      </c>
      <c r="N28" s="97" t="s">
        <v>138</v>
      </c>
      <c r="O28" s="105">
        <f>(C28-E28)*((Factores!$E$5*Factores!$L$4)+Factores!$N$4*Factores!$L$20+Factores!$P$4*Factores!$L$21)*Factores!$J$4*F28*Variables!$C$16*J28/365</f>
        <v>3424.3557411159818</v>
      </c>
      <c r="Q28" s="106">
        <f>Factores!$J$4*C28*F28*(Factores!$E$5*Factores!$L$4+Factores!$N$4*Factores!$L$20+Factores!$P$4*Factores!$L$21)*Variables!$C$16*J28/365</f>
        <v>4874.6711138239261</v>
      </c>
      <c r="R28" s="106">
        <f>Factores!$J$4*E28*F28*(Factores!$E$5*Factores!$L$4+Factores!$N$4*Factores!$L$20+Factores!$P$4*Factores!$L$21)*Variables!$C$16*J28/365</f>
        <v>1450.3153727079452</v>
      </c>
      <c r="S28" s="106">
        <f t="shared" ref="S28:S29" si="5">Q28-R28</f>
        <v>3424.3557411159809</v>
      </c>
      <c r="T28" s="106">
        <f t="shared" si="4"/>
        <v>0</v>
      </c>
      <c r="V28" s="107">
        <f>($C28-$E28)*$F28*Variables!$C$16*Factores!$J$4*1000*Factores!U$4/1000000*$J28/365</f>
        <v>313.7293395433789</v>
      </c>
      <c r="W28" s="107">
        <f>($C28-$E28)*$F28*Variables!$C$16*Factores!$J$4*1000*Factores!V$4/1000000*$J28/365</f>
        <v>3.9216167442922365</v>
      </c>
      <c r="X28" s="107">
        <f>($C28-$E28)*$F28*Variables!$C$16*Factores!$J$4*1000*Factores!W$4/1000000*$J28/365</f>
        <v>47.059400931506836</v>
      </c>
      <c r="Y28" s="107">
        <f>($C28-$E28)*$F28*Variables!$C$16*Factores!$J$4*1000*Factores!X$4/1000000*$J28/365</f>
        <v>0.8627556837442919</v>
      </c>
      <c r="Z28" s="107">
        <f>($C28-$E28)*$F28*Variables!$C$16*Factores!$J$4*1000*Factores!Y$4/1000000*$J28/365</f>
        <v>59.608574513241983</v>
      </c>
      <c r="AA28" s="107">
        <f>($C28-$E28)*$F28*Variables!$C$16*Factores!$J$4*1000*Factores!Z$4/1000000*$J28/365</f>
        <v>58.039927815525104</v>
      </c>
      <c r="AB28" s="107">
        <f>($C28-$E28)*$F28*Variables!$C$16*Factores!$J$4*1000*Factores!AA$4/1000000*$J28/365</f>
        <v>5.8039927815525107</v>
      </c>
    </row>
    <row r="29" spans="2:28" x14ac:dyDescent="0.2">
      <c r="B29" s="97" t="s">
        <v>73</v>
      </c>
      <c r="C29" s="98">
        <v>2.8233333333333328</v>
      </c>
      <c r="D29" s="99" t="s">
        <v>210</v>
      </c>
      <c r="E29" s="100">
        <v>0.84</v>
      </c>
      <c r="F29" s="101">
        <v>798.33333333333337</v>
      </c>
      <c r="G29" s="101" t="s">
        <v>133</v>
      </c>
      <c r="H29" s="97">
        <v>2011</v>
      </c>
      <c r="I29" s="102">
        <v>43936</v>
      </c>
      <c r="J29" s="103">
        <v>288</v>
      </c>
      <c r="K29" s="104">
        <v>44141</v>
      </c>
      <c r="L29" s="97" t="s">
        <v>77</v>
      </c>
      <c r="M29" s="97" t="s">
        <v>78</v>
      </c>
      <c r="N29" s="97" t="s">
        <v>79</v>
      </c>
      <c r="O29" s="105">
        <f>(C29-E29)*((Factores!$F$5*Factores!$L$4)+Factores!$N$4*Factores!$L$20+Factores!$P$4*Factores!$L$21)*Factores!$J$4*F29*Variables!$C$16*J29/365</f>
        <v>2321.0622298126023</v>
      </c>
      <c r="Q29" s="106">
        <f>Factores!$J$4*C29*F29*(Factores!$F$5*Factores!$L$4+Factores!$N$4*Factores!$L$20+Factores!$P$4*Factores!$L$21)*Variables!$C$16*J29/365</f>
        <v>3304.10035067441</v>
      </c>
      <c r="R29" s="106">
        <f>Factores!$J$4*E29*F29*(Factores!$F$5*Factores!$L$4+Factores!$N$4*Factores!$L$20+Factores!$P$4*Factores!$L$21)*Variables!$C$16*J29/365</f>
        <v>983.03812086180801</v>
      </c>
      <c r="S29" s="106">
        <f t="shared" si="5"/>
        <v>2321.0622298126018</v>
      </c>
      <c r="T29" s="106">
        <f t="shared" si="4"/>
        <v>0</v>
      </c>
      <c r="V29" s="107">
        <f>($C29-$E29)*$F29*Variables!$C$16*Factores!$J$4*1000*Factores!U$4/1000000*$J29/365</f>
        <v>296.24278619178074</v>
      </c>
      <c r="W29" s="107">
        <f>($C29-$E29)*$F29*Variables!$C$16*Factores!$J$4*1000*Factores!V$4/1000000*$J29/365</f>
        <v>3.7030348273972589</v>
      </c>
      <c r="X29" s="107">
        <f>($C29-$E29)*$F29*Variables!$C$16*Factores!$J$4*1000*Factores!W$4/1000000*$J29/365</f>
        <v>44.436417928767113</v>
      </c>
      <c r="Y29" s="107">
        <f>($C29-$E29)*$F29*Variables!$C$16*Factores!$J$4*1000*Factores!X$4/1000000*$J29/365</f>
        <v>0.81466766202739693</v>
      </c>
      <c r="Z29" s="107">
        <f>($C29-$E29)*$F29*Variables!$C$16*Factores!$J$4*1000*Factores!Y$4/1000000*$J29/365</f>
        <v>56.286129376438325</v>
      </c>
      <c r="AA29" s="107">
        <f>($C29-$E29)*$F29*Variables!$C$16*Factores!$J$4*1000*Factores!Z$4/1000000*$J29/365</f>
        <v>54.804915445479438</v>
      </c>
      <c r="AB29" s="107">
        <f>($C29-$E29)*$F29*Variables!$C$16*Factores!$J$4*1000*Factores!AA$4/1000000*$J29/365</f>
        <v>5.4804915445479443</v>
      </c>
    </row>
    <row r="30" spans="2:28" x14ac:dyDescent="0.2">
      <c r="B30" s="97" t="s">
        <v>73</v>
      </c>
      <c r="C30" s="98">
        <v>2.8233333333333328</v>
      </c>
      <c r="D30" s="99" t="s">
        <v>212</v>
      </c>
      <c r="E30" s="100">
        <v>1.8</v>
      </c>
      <c r="F30" s="101">
        <v>2451.3333333333335</v>
      </c>
      <c r="G30" s="101" t="s">
        <v>131</v>
      </c>
      <c r="H30" s="97">
        <v>2011</v>
      </c>
      <c r="I30" s="102">
        <v>44012</v>
      </c>
      <c r="J30" s="103">
        <v>180</v>
      </c>
      <c r="K30" s="104">
        <v>44153</v>
      </c>
      <c r="L30" s="97" t="s">
        <v>77</v>
      </c>
      <c r="M30" s="97" t="s">
        <v>78</v>
      </c>
      <c r="N30" s="97" t="s">
        <v>138</v>
      </c>
      <c r="O30" s="105">
        <f>(C30-E30)*((Factores!$D$5*Factores!$L$4)+Factores!$N$4*Factores!$L$20+Factores!$P$4*Factores!$L$21)*Factores!$J$4*F30*Variables!$C$16*J30/365</f>
        <v>4105.2557808236688</v>
      </c>
      <c r="Q30" s="106">
        <f>Factores!$J$4*C30*F30*(Factores!$D$5*Factores!$L$4+Factores!$N$4*Factores!$L$20+Factores!$P$4*Factores!$L$21)*Variables!$C$16*J30/365</f>
        <v>11326.226861099834</v>
      </c>
      <c r="R30" s="106">
        <f>Factores!$J$4*E30*F30*(Factores!$D$5*Factores!$L$4+Factores!$N$4*Factores!$L$20+Factores!$P$4*Factores!$L$21)*Variables!$C$16*J30/365</f>
        <v>7220.9710802761647</v>
      </c>
      <c r="S30" s="106">
        <f t="shared" si="3"/>
        <v>4105.2557808236697</v>
      </c>
      <c r="T30" s="106">
        <f t="shared" si="4"/>
        <v>0</v>
      </c>
      <c r="V30" s="107">
        <f>($C30-$E30)*$F30*Variables!$C$16*Factores!$J$4*1000*Factores!U$4/1000000*$J30/365</f>
        <v>293.33731910136964</v>
      </c>
      <c r="W30" s="107">
        <f>($C30-$E30)*$F30*Variables!$C$16*Factores!$J$4*1000*Factores!V$4/1000000*$J30/365</f>
        <v>3.6667164887671211</v>
      </c>
      <c r="X30" s="107">
        <f>($C30-$E30)*$F30*Variables!$C$16*Factores!$J$4*1000*Factores!W$4/1000000*$J30/365</f>
        <v>44.000597865205457</v>
      </c>
      <c r="Y30" s="107">
        <f>($C30-$E30)*$F30*Variables!$C$16*Factores!$J$4*1000*Factores!X$4/1000000*$J30/365</f>
        <v>0.80667762752876671</v>
      </c>
      <c r="Z30" s="107">
        <f>($C30-$E30)*$F30*Variables!$C$16*Factores!$J$4*1000*Factores!Y$4/1000000*$J30/365</f>
        <v>55.734090629260237</v>
      </c>
      <c r="AA30" s="107">
        <f>($C30-$E30)*$F30*Variables!$C$16*Factores!$J$4*1000*Factores!Z$4/1000000*$J30/365</f>
        <v>54.267404033753394</v>
      </c>
      <c r="AB30" s="107">
        <f>($C30-$E30)*$F30*Variables!$C$16*Factores!$J$4*1000*Factores!AA$4/1000000*$J30/365</f>
        <v>5.426740403375339</v>
      </c>
    </row>
    <row r="31" spans="2:28" x14ac:dyDescent="0.2">
      <c r="B31" s="97" t="s">
        <v>73</v>
      </c>
      <c r="C31" s="98">
        <v>2.8233333333333328</v>
      </c>
      <c r="D31" s="99" t="s">
        <v>212</v>
      </c>
      <c r="E31" s="100">
        <v>1.8</v>
      </c>
      <c r="F31" s="101">
        <v>2451.3333333333335</v>
      </c>
      <c r="G31" s="101" t="s">
        <v>132</v>
      </c>
      <c r="H31" s="97">
        <v>2011</v>
      </c>
      <c r="I31" s="102">
        <v>43889</v>
      </c>
      <c r="J31" s="103">
        <v>305</v>
      </c>
      <c r="K31" s="104">
        <v>44165</v>
      </c>
      <c r="L31" s="97" t="s">
        <v>77</v>
      </c>
      <c r="M31" s="97" t="s">
        <v>78</v>
      </c>
      <c r="N31" s="97" t="s">
        <v>79</v>
      </c>
      <c r="O31" s="105">
        <f>(C31-E31)*((Factores!$E$5*Factores!$L$4)+Factores!$N$4*Factores!$L$20+Factores!$P$4*Factores!$L$21)*Factores!$J$4*F31*Variables!$C$16*J31/365</f>
        <v>5425.2329754855136</v>
      </c>
      <c r="Q31" s="106">
        <f>Factores!$J$4*C31*F31*(Factores!$E$5*Factores!$L$4+Factores!$N$4*Factores!$L$20+Factores!$P$4*Factores!$L$21)*Variables!$C$16*J31/365</f>
        <v>14967.988046372093</v>
      </c>
      <c r="R31" s="106">
        <f>Factores!$J$4*E31*F31*(Factores!$E$5*Factores!$L$4+Factores!$N$4*Factores!$L$20+Factores!$P$4*Factores!$L$21)*Variables!$C$16*J31/365</f>
        <v>9542.7550708865765</v>
      </c>
      <c r="S31" s="106">
        <f t="shared" ref="S31:S32" si="6">Q31-R31</f>
        <v>5425.2329754855164</v>
      </c>
      <c r="T31" s="106">
        <f t="shared" si="4"/>
        <v>0</v>
      </c>
      <c r="V31" s="107">
        <f>($C31-$E31)*$F31*Variables!$C$16*Factores!$J$4*1000*Factores!U$4/1000000*$J31/365</f>
        <v>497.04379069954302</v>
      </c>
      <c r="W31" s="107">
        <f>($C31-$E31)*$F31*Variables!$C$16*Factores!$J$4*1000*Factores!V$4/1000000*$J31/365</f>
        <v>6.2130473837442874</v>
      </c>
      <c r="X31" s="107">
        <f>($C31-$E31)*$F31*Variables!$C$16*Factores!$J$4*1000*Factores!W$4/1000000*$J31/365</f>
        <v>74.556568604931456</v>
      </c>
      <c r="Y31" s="107">
        <f>($C31-$E31)*$F31*Variables!$C$16*Factores!$J$4*1000*Factores!X$4/1000000*$J31/365</f>
        <v>1.3668704244237435</v>
      </c>
      <c r="Z31" s="107">
        <f>($C31-$E31)*$F31*Variables!$C$16*Factores!$J$4*1000*Factores!Y$4/1000000*$J31/365</f>
        <v>94.438320232913185</v>
      </c>
      <c r="AA31" s="107">
        <f>($C31-$E31)*$F31*Variables!$C$16*Factores!$J$4*1000*Factores!Z$4/1000000*$J31/365</f>
        <v>91.953101279415463</v>
      </c>
      <c r="AB31" s="107">
        <f>($C31-$E31)*$F31*Variables!$C$16*Factores!$J$4*1000*Factores!AA$4/1000000*$J31/365</f>
        <v>9.1953101279415463</v>
      </c>
    </row>
    <row r="32" spans="2:28" x14ac:dyDescent="0.2">
      <c r="B32" s="97" t="s">
        <v>73</v>
      </c>
      <c r="C32" s="98">
        <v>2.8233333333333328</v>
      </c>
      <c r="D32" s="99" t="s">
        <v>212</v>
      </c>
      <c r="E32" s="100">
        <v>1.8</v>
      </c>
      <c r="F32" s="101">
        <v>2451.3333333333335</v>
      </c>
      <c r="G32" s="101" t="s">
        <v>133</v>
      </c>
      <c r="H32" s="97">
        <v>2011</v>
      </c>
      <c r="I32" s="102">
        <v>43936</v>
      </c>
      <c r="J32" s="103">
        <v>288</v>
      </c>
      <c r="K32" s="104">
        <v>44177</v>
      </c>
      <c r="L32" s="97" t="s">
        <v>77</v>
      </c>
      <c r="M32" s="97" t="s">
        <v>78</v>
      </c>
      <c r="N32" s="97" t="s">
        <v>138</v>
      </c>
      <c r="O32" s="105">
        <f>(C32-E32)*((Factores!$F$5*Factores!$L$4)+Factores!$N$4*Factores!$L$20+Factores!$P$4*Factores!$L$21)*Factores!$J$4*F32*Variables!$C$16*J32/365</f>
        <v>3677.2766322547709</v>
      </c>
      <c r="Q32" s="106">
        <f>Factores!$J$4*C32*F32*(Factores!$F$5*Factores!$L$4+Factores!$N$4*Factores!$L$20+Factores!$P$4*Factores!$L$21)*Variables!$C$16*J32/365</f>
        <v>10145.450513093785</v>
      </c>
      <c r="R32" s="106">
        <f>Factores!$J$4*E32*F32*(Factores!$F$5*Factores!$L$4+Factores!$N$4*Factores!$L$20+Factores!$P$4*Factores!$L$21)*Variables!$C$16*J32/365</f>
        <v>6468.1738808390137</v>
      </c>
      <c r="S32" s="106">
        <f t="shared" si="6"/>
        <v>3677.2766322547714</v>
      </c>
      <c r="T32" s="106">
        <f t="shared" si="4"/>
        <v>0</v>
      </c>
      <c r="V32" s="107">
        <f>($C32-$E32)*$F32*Variables!$C$16*Factores!$J$4*1000*Factores!U$4/1000000*$J32/365</f>
        <v>469.33971056219139</v>
      </c>
      <c r="W32" s="107">
        <f>($C32-$E32)*$F32*Variables!$C$16*Factores!$J$4*1000*Factores!V$4/1000000*$J32/365</f>
        <v>5.8667463820273937</v>
      </c>
      <c r="X32" s="107">
        <f>($C32-$E32)*$F32*Variables!$C$16*Factores!$J$4*1000*Factores!W$4/1000000*$J32/365</f>
        <v>70.400956584328725</v>
      </c>
      <c r="Y32" s="107">
        <f>($C32-$E32)*$F32*Variables!$C$16*Factores!$J$4*1000*Factores!X$4/1000000*$J32/365</f>
        <v>1.2906842040460267</v>
      </c>
      <c r="Z32" s="107">
        <f>($C32-$E32)*$F32*Variables!$C$16*Factores!$J$4*1000*Factores!Y$4/1000000*$J32/365</f>
        <v>89.174545006816388</v>
      </c>
      <c r="AA32" s="107">
        <f>($C32-$E32)*$F32*Variables!$C$16*Factores!$J$4*1000*Factores!Z$4/1000000*$J32/365</f>
        <v>86.827846454005424</v>
      </c>
      <c r="AB32" s="107">
        <f>($C32-$E32)*$F32*Variables!$C$16*Factores!$J$4*1000*Factores!AA$4/1000000*$J32/365</f>
        <v>8.6827846454005417</v>
      </c>
    </row>
    <row r="33" spans="2:28" x14ac:dyDescent="0.2">
      <c r="B33" s="97" t="s">
        <v>73</v>
      </c>
      <c r="C33" s="98">
        <v>2.8233333333333328</v>
      </c>
      <c r="D33" s="99" t="s">
        <v>209</v>
      </c>
      <c r="E33" s="100">
        <v>1.53</v>
      </c>
      <c r="F33" s="110">
        <v>16530.333333333332</v>
      </c>
      <c r="G33" s="101" t="s">
        <v>131</v>
      </c>
      <c r="H33" s="97">
        <v>2011</v>
      </c>
      <c r="I33" s="102">
        <v>44012</v>
      </c>
      <c r="J33" s="103">
        <v>180</v>
      </c>
      <c r="K33" s="104">
        <v>44189</v>
      </c>
      <c r="L33" s="97" t="s">
        <v>77</v>
      </c>
      <c r="M33" s="97" t="s">
        <v>78</v>
      </c>
      <c r="N33" s="97" t="s">
        <v>79</v>
      </c>
      <c r="O33" s="105">
        <f>(C33-E33)*((Factores!$D$5*Factores!$L$4)+Factores!$N$4*Factores!$L$20+Factores!$P$4*Factores!$L$21)*Factores!$J$4*F33*Variables!$C$16*J33/365</f>
        <v>34987.491970780909</v>
      </c>
      <c r="Q33" s="106">
        <f>Factores!$J$4*C33*F33*(Factores!$D$5*Factores!$L$4+Factores!$N$4*Factores!$L$20+Factores!$P$4*Factores!$L$21)*Variables!$C$16*J33/365</f>
        <v>76377.334276421228</v>
      </c>
      <c r="R33" s="106">
        <f>Factores!$J$4*E33*F33*(Factores!$D$5*Factores!$L$4+Factores!$N$4*Factores!$L$20+Factores!$P$4*Factores!$L$21)*Variables!$C$16*J33/365</f>
        <v>41389.842305640326</v>
      </c>
      <c r="S33" s="106">
        <f t="shared" si="3"/>
        <v>34987.491970780902</v>
      </c>
      <c r="T33" s="106">
        <f t="shared" si="4"/>
        <v>0</v>
      </c>
      <c r="V33" s="107">
        <f>($C33-$E33)*$F33*Variables!$C$16*Factores!$J$4*1000*Factores!U$4/1000000*$J33/365</f>
        <v>2499.9994262794503</v>
      </c>
      <c r="W33" s="107">
        <f>($C33-$E33)*$F33*Variables!$C$16*Factores!$J$4*1000*Factores!V$4/1000000*$J33/365</f>
        <v>31.249992828493127</v>
      </c>
      <c r="X33" s="107">
        <f>($C33-$E33)*$F33*Variables!$C$16*Factores!$J$4*1000*Factores!W$4/1000000*$J33/365</f>
        <v>374.9999139419175</v>
      </c>
      <c r="Y33" s="107">
        <f>($C33-$E33)*$F33*Variables!$C$16*Factores!$J$4*1000*Factores!X$4/1000000*$J33/365</f>
        <v>6.8749984222684883</v>
      </c>
      <c r="Z33" s="107">
        <f>($C33-$E33)*$F33*Variables!$C$16*Factores!$J$4*1000*Factores!Y$4/1000000*$J33/365</f>
        <v>474.99989099309551</v>
      </c>
      <c r="AA33" s="107">
        <f>($C33-$E33)*$F33*Variables!$C$16*Factores!$J$4*1000*Factores!Z$4/1000000*$J33/365</f>
        <v>462.49989386169824</v>
      </c>
      <c r="AB33" s="107">
        <f>($C33-$E33)*$F33*Variables!$C$16*Factores!$J$4*1000*Factores!AA$4/1000000*$J33/365</f>
        <v>46.24998938616983</v>
      </c>
    </row>
    <row r="34" spans="2:28" x14ac:dyDescent="0.2">
      <c r="B34" s="97" t="s">
        <v>73</v>
      </c>
      <c r="C34" s="98">
        <v>2.8233333333333328</v>
      </c>
      <c r="D34" s="99" t="s">
        <v>209</v>
      </c>
      <c r="E34" s="100">
        <v>1.53</v>
      </c>
      <c r="F34" s="110">
        <v>16530.333333333332</v>
      </c>
      <c r="G34" s="101" t="s">
        <v>132</v>
      </c>
      <c r="H34" s="97">
        <v>2011</v>
      </c>
      <c r="I34" s="102">
        <v>43889</v>
      </c>
      <c r="J34" s="103">
        <v>305</v>
      </c>
      <c r="K34" s="104">
        <v>44201</v>
      </c>
      <c r="L34" s="97" t="s">
        <v>77</v>
      </c>
      <c r="M34" s="97" t="s">
        <v>78</v>
      </c>
      <c r="N34" s="97" t="s">
        <v>138</v>
      </c>
      <c r="O34" s="105">
        <f>(C34-E34)*((Factores!$E$5*Factores!$L$4)+Factores!$N$4*Factores!$L$20+Factores!$P$4*Factores!$L$21)*Factores!$J$4*F34*Variables!$C$16*J34/365</f>
        <v>46237.142166895908</v>
      </c>
      <c r="Q34" s="106">
        <f>Factores!$J$4*C34*F34*(Factores!$E$5*Factores!$L$4+Factores!$N$4*Factores!$L$20+Factores!$P$4*Factores!$L$21)*Variables!$C$16*J34/365</f>
        <v>100935.20467876505</v>
      </c>
      <c r="R34" s="106">
        <f>Factores!$J$4*E34*F34*(Factores!$E$5*Factores!$L$4+Factores!$N$4*Factores!$L$20+Factores!$P$4*Factores!$L$21)*Variables!$C$16*J34/365</f>
        <v>54698.062511869153</v>
      </c>
      <c r="S34" s="106">
        <f t="shared" ref="S34:S35" si="7">Q34-R34</f>
        <v>46237.142166895894</v>
      </c>
      <c r="T34" s="106">
        <f t="shared" si="4"/>
        <v>0</v>
      </c>
      <c r="V34" s="107">
        <f>($C34-$E34)*$F34*Variables!$C$16*Factores!$J$4*1000*Factores!U$4/1000000*$J34/365</f>
        <v>4236.1101389735131</v>
      </c>
      <c r="W34" s="107">
        <f>($C34-$E34)*$F34*Variables!$C$16*Factores!$J$4*1000*Factores!V$4/1000000*$J34/365</f>
        <v>52.9513767371689</v>
      </c>
      <c r="X34" s="107">
        <f>($C34-$E34)*$F34*Variables!$C$16*Factores!$J$4*1000*Factores!W$4/1000000*$J34/365</f>
        <v>635.41652084602686</v>
      </c>
      <c r="Y34" s="107">
        <f>($C34-$E34)*$F34*Variables!$C$16*Factores!$J$4*1000*Factores!X$4/1000000*$J34/365</f>
        <v>11.64930288217716</v>
      </c>
      <c r="Z34" s="107">
        <f>($C34-$E34)*$F34*Variables!$C$16*Factores!$J$4*1000*Factores!Y$4/1000000*$J34/365</f>
        <v>804.86092640496747</v>
      </c>
      <c r="AA34" s="107">
        <f>($C34-$E34)*$F34*Variables!$C$16*Factores!$J$4*1000*Factores!Z$4/1000000*$J34/365</f>
        <v>783.68037571009972</v>
      </c>
      <c r="AB34" s="107">
        <f>($C34-$E34)*$F34*Variables!$C$16*Factores!$J$4*1000*Factores!AA$4/1000000*$J34/365</f>
        <v>78.368037571009978</v>
      </c>
    </row>
    <row r="35" spans="2:28" x14ac:dyDescent="0.2">
      <c r="B35" s="97" t="s">
        <v>73</v>
      </c>
      <c r="C35" s="98">
        <v>2.8233333333333328</v>
      </c>
      <c r="D35" s="99" t="s">
        <v>209</v>
      </c>
      <c r="E35" s="100">
        <v>1.53</v>
      </c>
      <c r="F35" s="110">
        <v>16530.333333333332</v>
      </c>
      <c r="G35" s="101" t="s">
        <v>133</v>
      </c>
      <c r="H35" s="97">
        <v>2011</v>
      </c>
      <c r="I35" s="102">
        <v>43936</v>
      </c>
      <c r="J35" s="103">
        <v>288</v>
      </c>
      <c r="K35" s="104">
        <v>44213</v>
      </c>
      <c r="L35" s="97" t="s">
        <v>77</v>
      </c>
      <c r="M35" s="97" t="s">
        <v>78</v>
      </c>
      <c r="N35" s="97" t="s">
        <v>79</v>
      </c>
      <c r="O35" s="105">
        <f>(C35-E35)*((Factores!$F$5*Factores!$L$4)+Factores!$N$4*Factores!$L$20+Factores!$P$4*Factores!$L$21)*Factores!$J$4*F35*Variables!$C$16*J35/365</f>
        <v>31339.992807839193</v>
      </c>
      <c r="Q35" s="106">
        <f>Factores!$J$4*C35*F35*(Factores!$F$5*Factores!$L$4+Factores!$N$4*Factores!$L$20+Factores!$P$4*Factores!$L$21)*Variables!$C$16*J35/365</f>
        <v>68414.881206803606</v>
      </c>
      <c r="R35" s="106">
        <f>Factores!$J$4*E35*F35*(Factores!$F$5*Factores!$L$4+Factores!$N$4*Factores!$L$20+Factores!$P$4*Factores!$L$21)*Variables!$C$16*J35/365</f>
        <v>37074.888398964431</v>
      </c>
      <c r="S35" s="106">
        <f t="shared" si="7"/>
        <v>31339.992807839175</v>
      </c>
      <c r="T35" s="106">
        <f t="shared" si="4"/>
        <v>0</v>
      </c>
      <c r="V35" s="107">
        <f>($C35-$E35)*$F35*Variables!$C$16*Factores!$J$4*1000*Factores!U$4/1000000*$J35/365</f>
        <v>3999.9990820471203</v>
      </c>
      <c r="W35" s="107">
        <f>($C35-$E35)*$F35*Variables!$C$16*Factores!$J$4*1000*Factores!V$4/1000000*$J35/365</f>
        <v>49.999988525588996</v>
      </c>
      <c r="X35" s="107">
        <f>($C35-$E35)*$F35*Variables!$C$16*Factores!$J$4*1000*Factores!W$4/1000000*$J35/365</f>
        <v>599.99986230706804</v>
      </c>
      <c r="Y35" s="107">
        <f>($C35-$E35)*$F35*Variables!$C$16*Factores!$J$4*1000*Factores!X$4/1000000*$J35/365</f>
        <v>10.999997475629582</v>
      </c>
      <c r="Z35" s="107">
        <f>($C35-$E35)*$F35*Variables!$C$16*Factores!$J$4*1000*Factores!Y$4/1000000*$J35/365</f>
        <v>759.99982558895283</v>
      </c>
      <c r="AA35" s="107">
        <f>($C35-$E35)*$F35*Variables!$C$16*Factores!$J$4*1000*Factores!Z$4/1000000*$J35/365</f>
        <v>739.99983017871716</v>
      </c>
      <c r="AB35" s="107">
        <f>($C35-$E35)*$F35*Variables!$C$16*Factores!$J$4*1000*Factores!AA$4/1000000*$J35/365</f>
        <v>73.999983017871727</v>
      </c>
    </row>
    <row r="36" spans="2:28" x14ac:dyDescent="0.2">
      <c r="B36" s="97" t="s">
        <v>73</v>
      </c>
      <c r="C36" s="98">
        <v>2.8233333333333328</v>
      </c>
      <c r="D36" s="99" t="s">
        <v>213</v>
      </c>
      <c r="E36" s="100">
        <v>1.9</v>
      </c>
      <c r="F36" s="110">
        <v>883.33333333333337</v>
      </c>
      <c r="G36" s="101" t="s">
        <v>131</v>
      </c>
      <c r="H36" s="97">
        <v>2011</v>
      </c>
      <c r="I36" s="102">
        <v>44012</v>
      </c>
      <c r="J36" s="103">
        <v>180</v>
      </c>
      <c r="K36" s="104">
        <v>44225</v>
      </c>
      <c r="L36" s="97" t="s">
        <v>77</v>
      </c>
      <c r="M36" s="97" t="s">
        <v>78</v>
      </c>
      <c r="N36" s="97" t="s">
        <v>138</v>
      </c>
      <c r="O36" s="105">
        <f>(C36-E36)*((Factores!$D$5*Factores!$L$4)+Factores!$N$4*Factores!$L$20+Factores!$P$4*Factores!$L$21)*Factores!$J$4*F36*Variables!$C$16*J36/365</f>
        <v>1334.7620900383552</v>
      </c>
      <c r="Q36" s="106">
        <f>Factores!$J$4*C36*F36*(Factores!$D$5*Factores!$L$4+Factores!$N$4*Factores!$L$20+Factores!$P$4*Factores!$L$21)*Variables!$C$16*J36/365</f>
        <v>4081.384441380822</v>
      </c>
      <c r="R36" s="106">
        <f>Factores!$J$4*E36*F36*(Factores!$D$5*Factores!$L$4+Factores!$N$4*Factores!$L$20+Factores!$P$4*Factores!$L$21)*Variables!$C$16*J36/365</f>
        <v>2746.6223513424657</v>
      </c>
      <c r="S36" s="106">
        <f t="shared" si="3"/>
        <v>1334.7620900383563</v>
      </c>
      <c r="T36" s="106">
        <f t="shared" si="4"/>
        <v>0</v>
      </c>
      <c r="V36" s="107">
        <f>($C36-$E36)*$F36*Variables!$C$16*Factores!$J$4*1000*Factores!U$4/1000000*$J36/365</f>
        <v>95.374211506849264</v>
      </c>
      <c r="W36" s="107">
        <f>($C36-$E36)*$F36*Variables!$C$16*Factores!$J$4*1000*Factores!V$4/1000000*$J36/365</f>
        <v>1.1921776438356158</v>
      </c>
      <c r="X36" s="107">
        <f>($C36-$E36)*$F36*Variables!$C$16*Factores!$J$4*1000*Factores!W$4/1000000*$J36/365</f>
        <v>14.306131726027388</v>
      </c>
      <c r="Y36" s="107">
        <f>($C36-$E36)*$F36*Variables!$C$16*Factores!$J$4*1000*Factores!X$4/1000000*$J36/365</f>
        <v>0.26227908164383545</v>
      </c>
      <c r="Z36" s="107">
        <f>($C36-$E36)*$F36*Variables!$C$16*Factores!$J$4*1000*Factores!Y$4/1000000*$J36/365</f>
        <v>18.121100186301355</v>
      </c>
      <c r="AA36" s="107">
        <f>($C36-$E36)*$F36*Variables!$C$16*Factores!$J$4*1000*Factores!Z$4/1000000*$J36/365</f>
        <v>17.644229128767115</v>
      </c>
      <c r="AB36" s="107">
        <f>($C36-$E36)*$F36*Variables!$C$16*Factores!$J$4*1000*Factores!AA$4/1000000*$J36/365</f>
        <v>1.7644229128767113</v>
      </c>
    </row>
    <row r="37" spans="2:28" x14ac:dyDescent="0.2">
      <c r="B37" s="97" t="s">
        <v>73</v>
      </c>
      <c r="C37" s="98">
        <v>2.8233333333333328</v>
      </c>
      <c r="D37" s="99" t="s">
        <v>213</v>
      </c>
      <c r="E37" s="100">
        <v>1.9</v>
      </c>
      <c r="F37" s="110">
        <v>883.33333333333337</v>
      </c>
      <c r="G37" s="101" t="s">
        <v>132</v>
      </c>
      <c r="H37" s="97">
        <v>2011</v>
      </c>
      <c r="I37" s="102">
        <v>43889</v>
      </c>
      <c r="J37" s="103">
        <v>305</v>
      </c>
      <c r="K37" s="104">
        <v>44237</v>
      </c>
      <c r="L37" s="97" t="s">
        <v>77</v>
      </c>
      <c r="M37" s="97" t="s">
        <v>78</v>
      </c>
      <c r="N37" s="97" t="s">
        <v>79</v>
      </c>
      <c r="O37" s="105">
        <f>(C37-E37)*((Factores!$E$5*Factores!$L$4)+Factores!$N$4*Factores!$L$20+Factores!$P$4*Factores!$L$21)*Factores!$J$4*F37*Variables!$C$16*J37/365</f>
        <v>1763.932795400912</v>
      </c>
      <c r="Q37" s="106">
        <f>Factores!$J$4*C37*F37*(Factores!$E$5*Factores!$L$4+Factores!$N$4*Factores!$L$20+Factores!$P$4*Factores!$L$21)*Variables!$C$16*J37/365</f>
        <v>5393.6862010995428</v>
      </c>
      <c r="R37" s="106">
        <f>Factores!$J$4*E37*F37*(Factores!$E$5*Factores!$L$4+Factores!$N$4*Factores!$L$20+Factores!$P$4*Factores!$L$21)*Variables!$C$16*J37/365</f>
        <v>3629.7534056986306</v>
      </c>
      <c r="S37" s="106">
        <f t="shared" ref="S37:S38" si="8">Q37-R37</f>
        <v>1763.9327954009123</v>
      </c>
      <c r="T37" s="106">
        <f t="shared" si="4"/>
        <v>0</v>
      </c>
      <c r="V37" s="107">
        <f>($C37-$E37)*$F37*Variables!$C$16*Factores!$J$4*1000*Factores!U$4/1000000*$J37/365</f>
        <v>161.60630283105013</v>
      </c>
      <c r="W37" s="107">
        <f>($C37-$E37)*$F37*Variables!$C$16*Factores!$J$4*1000*Factores!V$4/1000000*$J37/365</f>
        <v>2.0200787853881268</v>
      </c>
      <c r="X37" s="107">
        <f>($C37-$E37)*$F37*Variables!$C$16*Factores!$J$4*1000*Factores!W$4/1000000*$J37/365</f>
        <v>24.240945424657518</v>
      </c>
      <c r="Y37" s="107">
        <f>($C37-$E37)*$F37*Variables!$C$16*Factores!$J$4*1000*Factores!X$4/1000000*$J37/365</f>
        <v>0.44441733278538792</v>
      </c>
      <c r="Z37" s="107">
        <f>($C37-$E37)*$F37*Variables!$C$16*Factores!$J$4*1000*Factores!Y$4/1000000*$J37/365</f>
        <v>30.705197537899519</v>
      </c>
      <c r="AA37" s="107">
        <f>($C37-$E37)*$F37*Variables!$C$16*Factores!$J$4*1000*Factores!Z$4/1000000*$J37/365</f>
        <v>29.897166023744276</v>
      </c>
      <c r="AB37" s="107">
        <f>($C37-$E37)*$F37*Variables!$C$16*Factores!$J$4*1000*Factores!AA$4/1000000*$J37/365</f>
        <v>2.9897166023744277</v>
      </c>
    </row>
    <row r="38" spans="2:28" x14ac:dyDescent="0.2">
      <c r="B38" s="97" t="s">
        <v>73</v>
      </c>
      <c r="C38" s="98">
        <v>2.8233333333333328</v>
      </c>
      <c r="D38" s="99" t="s">
        <v>213</v>
      </c>
      <c r="E38" s="100">
        <v>1.9</v>
      </c>
      <c r="F38" s="110">
        <v>883.33333333333337</v>
      </c>
      <c r="G38" s="101" t="s">
        <v>133</v>
      </c>
      <c r="H38" s="97">
        <v>2011</v>
      </c>
      <c r="I38" s="102">
        <v>43936</v>
      </c>
      <c r="J38" s="103">
        <v>288</v>
      </c>
      <c r="K38" s="104">
        <v>44249</v>
      </c>
      <c r="L38" s="97" t="s">
        <v>77</v>
      </c>
      <c r="M38" s="97" t="s">
        <v>78</v>
      </c>
      <c r="N38" s="97" t="s">
        <v>138</v>
      </c>
      <c r="O38" s="105">
        <f>(C38-E38)*((Factores!$F$5*Factores!$L$4)+Factores!$N$4*Factores!$L$20+Factores!$P$4*Factores!$L$21)*Factores!$J$4*F38*Variables!$C$16*J38/365</f>
        <v>1195.6111154498624</v>
      </c>
      <c r="Q38" s="106">
        <f>Factores!$J$4*C38*F38*(Factores!$F$5*Factores!$L$4+Factores!$N$4*Factores!$L$20+Factores!$P$4*Factores!$L$21)*Variables!$C$16*J38/365</f>
        <v>3655.8939161950684</v>
      </c>
      <c r="R38" s="106">
        <f>Factores!$J$4*E38*F38*(Factores!$F$5*Factores!$L$4+Factores!$N$4*Factores!$L$20+Factores!$P$4*Factores!$L$21)*Variables!$C$16*J38/365</f>
        <v>2460.2828007452053</v>
      </c>
      <c r="S38" s="106">
        <f t="shared" si="8"/>
        <v>1195.6111154498631</v>
      </c>
      <c r="T38" s="106">
        <f t="shared" si="4"/>
        <v>0</v>
      </c>
      <c r="V38" s="107">
        <f>($C38-$E38)*$F38*Variables!$C$16*Factores!$J$4*1000*Factores!U$4/1000000*$J38/365</f>
        <v>152.59873841095882</v>
      </c>
      <c r="W38" s="107">
        <f>($C38-$E38)*$F38*Variables!$C$16*Factores!$J$4*1000*Factores!V$4/1000000*$J38/365</f>
        <v>1.9074842301369852</v>
      </c>
      <c r="X38" s="107">
        <f>($C38-$E38)*$F38*Variables!$C$16*Factores!$J$4*1000*Factores!W$4/1000000*$J38/365</f>
        <v>22.889810761643822</v>
      </c>
      <c r="Y38" s="107">
        <f>($C38-$E38)*$F38*Variables!$C$16*Factores!$J$4*1000*Factores!X$4/1000000*$J38/365</f>
        <v>0.41964653063013679</v>
      </c>
      <c r="Z38" s="107">
        <f>($C38-$E38)*$F38*Variables!$C$16*Factores!$J$4*1000*Factores!Y$4/1000000*$J38/365</f>
        <v>28.993760298082172</v>
      </c>
      <c r="AA38" s="107">
        <f>($C38-$E38)*$F38*Variables!$C$16*Factores!$J$4*1000*Factores!Z$4/1000000*$J38/365</f>
        <v>28.23076660602738</v>
      </c>
      <c r="AB38" s="107">
        <f>($C38-$E38)*$F38*Variables!$C$16*Factores!$J$4*1000*Factores!AA$4/1000000*$J38/365</f>
        <v>2.8230766606027378</v>
      </c>
    </row>
    <row r="39" spans="2:28" x14ac:dyDescent="0.2">
      <c r="B39" s="97" t="s">
        <v>73</v>
      </c>
      <c r="C39" s="98">
        <v>2.8233333333333328</v>
      </c>
      <c r="D39" s="99" t="s">
        <v>214</v>
      </c>
      <c r="E39" s="100">
        <v>2</v>
      </c>
      <c r="F39" s="101">
        <v>954.66666666666674</v>
      </c>
      <c r="G39" s="101" t="s">
        <v>131</v>
      </c>
      <c r="H39" s="97">
        <v>2011</v>
      </c>
      <c r="I39" s="102">
        <v>44012</v>
      </c>
      <c r="J39" s="103">
        <v>180</v>
      </c>
      <c r="K39" s="104">
        <v>44261</v>
      </c>
      <c r="L39" s="97" t="s">
        <v>77</v>
      </c>
      <c r="M39" s="97" t="s">
        <v>78</v>
      </c>
      <c r="N39" s="97" t="s">
        <v>79</v>
      </c>
      <c r="O39" s="105">
        <f>(C39-E39)*((Factores!$D$5*Factores!$L$4)+Factores!$N$4*Factores!$L$20+Factores!$P$4*Factores!$L$21)*Factores!$J$4*F39*Variables!$C$16*J39/365</f>
        <v>1286.3175268576429</v>
      </c>
      <c r="Q39" s="106">
        <f>Factores!$J$4*C39*F39*(Factores!$D$5*Factores!$L$4+Factores!$N$4*Factores!$L$20+Factores!$P$4*Factores!$L$21)*Variables!$C$16*J39/365</f>
        <v>4410.9754868357259</v>
      </c>
      <c r="R39" s="106">
        <f>Factores!$J$4*E39*F39*(Factores!$D$5*Factores!$L$4+Factores!$N$4*Factores!$L$20+Factores!$P$4*Factores!$L$21)*Variables!$C$16*J39/365</f>
        <v>3124.6579599780821</v>
      </c>
      <c r="S39" s="106">
        <f t="shared" si="3"/>
        <v>1286.3175268576438</v>
      </c>
      <c r="T39" s="106">
        <f t="shared" si="4"/>
        <v>0</v>
      </c>
      <c r="V39" s="107">
        <f>($C39-$E39)*$F39*Variables!$C$16*Factores!$J$4*1000*Factores!U$4/1000000*$J39/365</f>
        <v>91.912649293150636</v>
      </c>
      <c r="W39" s="107">
        <f>($C39-$E39)*$F39*Variables!$C$16*Factores!$J$4*1000*Factores!V$4/1000000*$J39/365</f>
        <v>1.1489081161643826</v>
      </c>
      <c r="X39" s="107">
        <f>($C39-$E39)*$F39*Variables!$C$16*Factores!$J$4*1000*Factores!W$4/1000000*$J39/365</f>
        <v>13.786897393972593</v>
      </c>
      <c r="Y39" s="107">
        <f>($C39-$E39)*$F39*Variables!$C$16*Factores!$J$4*1000*Factores!X$4/1000000*$J39/365</f>
        <v>0.25275978555616418</v>
      </c>
      <c r="Z39" s="107">
        <f>($C39-$E39)*$F39*Variables!$C$16*Factores!$J$4*1000*Factores!Y$4/1000000*$J39/365</f>
        <v>17.463403365698621</v>
      </c>
      <c r="AA39" s="107">
        <f>($C39-$E39)*$F39*Variables!$C$16*Factores!$J$4*1000*Factores!Z$4/1000000*$J39/365</f>
        <v>17.003840119232866</v>
      </c>
      <c r="AB39" s="107">
        <f>($C39-$E39)*$F39*Variables!$C$16*Factores!$J$4*1000*Factores!AA$4/1000000*$J39/365</f>
        <v>1.7003840119232865</v>
      </c>
    </row>
    <row r="40" spans="2:28" x14ac:dyDescent="0.2">
      <c r="B40" s="97" t="s">
        <v>73</v>
      </c>
      <c r="C40" s="98">
        <v>2.8233333333333328</v>
      </c>
      <c r="D40" s="99" t="s">
        <v>214</v>
      </c>
      <c r="E40" s="100">
        <v>2</v>
      </c>
      <c r="F40" s="101">
        <v>954.66666666666674</v>
      </c>
      <c r="G40" s="101" t="s">
        <v>132</v>
      </c>
      <c r="H40" s="97">
        <v>2011</v>
      </c>
      <c r="I40" s="102">
        <v>43889</v>
      </c>
      <c r="J40" s="103">
        <v>305</v>
      </c>
      <c r="K40" s="104">
        <v>44273</v>
      </c>
      <c r="L40" s="97" t="s">
        <v>77</v>
      </c>
      <c r="M40" s="97" t="s">
        <v>78</v>
      </c>
      <c r="N40" s="97" t="s">
        <v>138</v>
      </c>
      <c r="O40" s="105">
        <f>(C40-E40)*((Factores!$E$5*Factores!$L$4)+Factores!$N$4*Factores!$L$20+Factores!$P$4*Factores!$L$21)*Factores!$J$4*F40*Variables!$C$16*J40/365</f>
        <v>1699.9116830310854</v>
      </c>
      <c r="Q40" s="106">
        <f>Factores!$J$4*C40*F40*(Factores!$E$5*Factores!$L$4+Factores!$N$4*Factores!$L$20+Factores!$P$4*Factores!$L$21)*Variables!$C$16*J40/365</f>
        <v>5829.2518037543732</v>
      </c>
      <c r="R40" s="106">
        <f>Factores!$J$4*E40*F40*(Factores!$E$5*Factores!$L$4+Factores!$N$4*Factores!$L$20+Factores!$P$4*Factores!$L$21)*Variables!$C$16*J40/365</f>
        <v>4129.3401207232882</v>
      </c>
      <c r="S40" s="106">
        <f t="shared" ref="S40:S44" si="9">Q40-R40</f>
        <v>1699.911683031085</v>
      </c>
      <c r="T40" s="106">
        <f t="shared" si="4"/>
        <v>0</v>
      </c>
      <c r="V40" s="107">
        <f>($C40-$E40)*$F40*Variables!$C$16*Factores!$J$4*1000*Factores!U$4/1000000*$J40/365</f>
        <v>155.74087796894966</v>
      </c>
      <c r="W40" s="107">
        <f>($C40-$E40)*$F40*Variables!$C$16*Factores!$J$4*1000*Factores!V$4/1000000*$J40/365</f>
        <v>1.9467609746118706</v>
      </c>
      <c r="X40" s="107">
        <f>($C40-$E40)*$F40*Variables!$C$16*Factores!$J$4*1000*Factores!W$4/1000000*$J40/365</f>
        <v>23.361131695342451</v>
      </c>
      <c r="Y40" s="107">
        <f>($C40-$E40)*$F40*Variables!$C$16*Factores!$J$4*1000*Factores!X$4/1000000*$J40/365</f>
        <v>0.42828741441461143</v>
      </c>
      <c r="Z40" s="107">
        <f>($C40-$E40)*$F40*Variables!$C$16*Factores!$J$4*1000*Factores!Y$4/1000000*$J40/365</f>
        <v>29.590766814100441</v>
      </c>
      <c r="AA40" s="107">
        <f>($C40-$E40)*$F40*Variables!$C$16*Factores!$J$4*1000*Factores!Z$4/1000000*$J40/365</f>
        <v>28.812062424255689</v>
      </c>
      <c r="AB40" s="107">
        <f>($C40-$E40)*$F40*Variables!$C$16*Factores!$J$4*1000*Factores!AA$4/1000000*$J40/365</f>
        <v>2.8812062424255687</v>
      </c>
    </row>
    <row r="41" spans="2:28" x14ac:dyDescent="0.2">
      <c r="B41" s="97" t="s">
        <v>73</v>
      </c>
      <c r="C41" s="98">
        <v>2.8233333333333328</v>
      </c>
      <c r="D41" s="99" t="s">
        <v>214</v>
      </c>
      <c r="E41" s="100">
        <v>2</v>
      </c>
      <c r="F41" s="101">
        <v>954.66666666666674</v>
      </c>
      <c r="G41" s="101" t="s">
        <v>133</v>
      </c>
      <c r="H41" s="97">
        <v>2011</v>
      </c>
      <c r="I41" s="102">
        <v>43936</v>
      </c>
      <c r="J41" s="103">
        <v>288</v>
      </c>
      <c r="K41" s="104">
        <v>44285</v>
      </c>
      <c r="L41" s="97" t="s">
        <v>77</v>
      </c>
      <c r="M41" s="97" t="s">
        <v>78</v>
      </c>
      <c r="N41" s="97" t="s">
        <v>79</v>
      </c>
      <c r="O41" s="105">
        <f>(C41-E41)*((Factores!$F$5*Factores!$L$4)+Factores!$N$4*Factores!$L$20+Factores!$P$4*Factores!$L$21)*Factores!$J$4*F41*Variables!$C$16*J41/365</f>
        <v>1152.2169715389364</v>
      </c>
      <c r="Q41" s="106">
        <f>Factores!$J$4*C41*F41*(Factores!$F$5*Factores!$L$4+Factores!$N$4*Factores!$L$20+Factores!$P$4*Factores!$L$21)*Variables!$C$16*J41/365</f>
        <v>3951.1245947104439</v>
      </c>
      <c r="R41" s="106">
        <f>Factores!$J$4*E41*F41*(Factores!$F$5*Factores!$L$4+Factores!$N$4*Factores!$L$20+Factores!$P$4*Factores!$L$21)*Variables!$C$16*J41/365</f>
        <v>2798.9076231715067</v>
      </c>
      <c r="S41" s="106">
        <f t="shared" si="9"/>
        <v>1152.2169715389373</v>
      </c>
      <c r="T41" s="106">
        <f t="shared" si="4"/>
        <v>0</v>
      </c>
      <c r="V41" s="107">
        <f>($C41-$E41)*$F41*Variables!$C$16*Factores!$J$4*1000*Factores!U$4/1000000*$J41/365</f>
        <v>147.060238869041</v>
      </c>
      <c r="W41" s="107">
        <f>($C41-$E41)*$F41*Variables!$C$16*Factores!$J$4*1000*Factores!V$4/1000000*$J41/365</f>
        <v>1.8382529858630121</v>
      </c>
      <c r="X41" s="107">
        <f>($C41-$E41)*$F41*Variables!$C$16*Factores!$J$4*1000*Factores!W$4/1000000*$J41/365</f>
        <v>22.059035830356148</v>
      </c>
      <c r="Y41" s="107">
        <f>($C41-$E41)*$F41*Variables!$C$16*Factores!$J$4*1000*Factores!X$4/1000000*$J41/365</f>
        <v>0.40441565688986264</v>
      </c>
      <c r="Z41" s="107">
        <f>($C41-$E41)*$F41*Variables!$C$16*Factores!$J$4*1000*Factores!Y$4/1000000*$J41/365</f>
        <v>27.941445385117795</v>
      </c>
      <c r="AA41" s="107">
        <f>($C41-$E41)*$F41*Variables!$C$16*Factores!$J$4*1000*Factores!Z$4/1000000*$J41/365</f>
        <v>27.206144190772584</v>
      </c>
      <c r="AB41" s="107">
        <f>($C41-$E41)*$F41*Variables!$C$16*Factores!$J$4*1000*Factores!AA$4/1000000*$J41/365</f>
        <v>2.7206144190772585</v>
      </c>
    </row>
    <row r="42" spans="2:28" x14ac:dyDescent="0.2">
      <c r="B42" s="97" t="s">
        <v>73</v>
      </c>
      <c r="C42" s="98">
        <v>2.8233333333333328</v>
      </c>
      <c r="D42" s="99" t="s">
        <v>211</v>
      </c>
      <c r="E42" s="100">
        <v>1.1599999999999999</v>
      </c>
      <c r="F42" s="101">
        <v>0</v>
      </c>
      <c r="G42" s="101" t="s">
        <v>131</v>
      </c>
      <c r="H42" s="97">
        <v>2011</v>
      </c>
      <c r="I42" s="102">
        <v>44012</v>
      </c>
      <c r="J42" s="103">
        <v>180</v>
      </c>
      <c r="K42" s="104">
        <v>44297</v>
      </c>
      <c r="L42" s="97" t="s">
        <v>77</v>
      </c>
      <c r="M42" s="97" t="s">
        <v>78</v>
      </c>
      <c r="N42" s="97" t="s">
        <v>138</v>
      </c>
      <c r="O42" s="105">
        <f>(C42-E42)*((Factores!$D$5*Factores!$L$4)+Factores!$N$4*Factores!$L$20+Factores!$P$4*Factores!$L$21)*Factores!$J$4*F42*Variables!$C$16*J42/365</f>
        <v>0</v>
      </c>
      <c r="Q42" s="106">
        <f>Factores!$J$4*C42*F42*(Factores!$D$5*Factores!$L$4+Factores!$N$4*Factores!$L$20+Factores!$P$4*Factores!$L$21)*Variables!$C$16*J42/365</f>
        <v>0</v>
      </c>
      <c r="R42" s="106">
        <f>Factores!$J$4*E42*F42*(Factores!$D$5*Factores!$L$4+Factores!$N$4*Factores!$L$20+Factores!$P$4*Factores!$L$21)*Variables!$C$16*J42/365</f>
        <v>0</v>
      </c>
      <c r="S42" s="106">
        <f t="shared" si="9"/>
        <v>0</v>
      </c>
      <c r="T42" s="106">
        <f t="shared" ref="T42:T44" si="10">O42-S42</f>
        <v>0</v>
      </c>
      <c r="V42" s="107">
        <f>($C42-$E42)*$F42*Variables!$C$16*Factores!$J$4*1000*Factores!U$4/1000000*$J42/365</f>
        <v>0</v>
      </c>
      <c r="W42" s="107">
        <f>($C42-$E42)*$F42*Variables!$C$16*Factores!$J$4*1000*Factores!V$4/1000000*$J42/365</f>
        <v>0</v>
      </c>
      <c r="X42" s="107">
        <f>($C42-$E42)*$F42*Variables!$C$16*Factores!$J$4*1000*Factores!W$4/1000000*$J42/365</f>
        <v>0</v>
      </c>
      <c r="Y42" s="107">
        <f>($C42-$E42)*$F42*Variables!$C$16*Factores!$J$4*1000*Factores!X$4/1000000*$J42/365</f>
        <v>0</v>
      </c>
      <c r="Z42" s="107">
        <f>($C42-$E42)*$F42*Variables!$C$16*Factores!$J$4*1000*Factores!Y$4/1000000*$J42/365</f>
        <v>0</v>
      </c>
      <c r="AA42" s="107">
        <f>($C42-$E42)*$F42*Variables!$C$16*Factores!$J$4*1000*Factores!Z$4/1000000*$J42/365</f>
        <v>0</v>
      </c>
      <c r="AB42" s="107">
        <f>($C42-$E42)*$F42*Variables!$C$16*Factores!$J$4*1000*Factores!AA$4/1000000*$J42/365</f>
        <v>0</v>
      </c>
    </row>
    <row r="43" spans="2:28" x14ac:dyDescent="0.2">
      <c r="B43" s="97" t="s">
        <v>73</v>
      </c>
      <c r="C43" s="98">
        <v>2.8233333333333328</v>
      </c>
      <c r="D43" s="99" t="s">
        <v>211</v>
      </c>
      <c r="E43" s="100">
        <v>1.1599999999999999</v>
      </c>
      <c r="F43" s="101">
        <v>0</v>
      </c>
      <c r="G43" s="101" t="s">
        <v>132</v>
      </c>
      <c r="H43" s="97">
        <v>2011</v>
      </c>
      <c r="I43" s="102">
        <v>43889</v>
      </c>
      <c r="J43" s="103">
        <v>305</v>
      </c>
      <c r="K43" s="104">
        <v>44309</v>
      </c>
      <c r="L43" s="97" t="s">
        <v>77</v>
      </c>
      <c r="M43" s="97" t="s">
        <v>78</v>
      </c>
      <c r="N43" s="97" t="s">
        <v>79</v>
      </c>
      <c r="O43" s="105">
        <f>(C43-E43)*((Factores!$E$5*Factores!$L$4)+Factores!$N$4*Factores!$L$20+Factores!$P$4*Factores!$L$21)*Factores!$J$4*F43*Variables!$C$16*J43/365</f>
        <v>0</v>
      </c>
      <c r="Q43" s="106">
        <f>Factores!$J$4*C43*F43*(Factores!$E$5*Factores!$L$4+Factores!$N$4*Factores!$L$20+Factores!$P$4*Factores!$L$21)*Variables!$C$16*J43/365</f>
        <v>0</v>
      </c>
      <c r="R43" s="106">
        <f>Factores!$J$4*E43*F43*(Factores!$E$5*Factores!$L$4+Factores!$N$4*Factores!$L$20+Factores!$P$4*Factores!$L$21)*Variables!$C$16*J43/365</f>
        <v>0</v>
      </c>
      <c r="S43" s="106">
        <f t="shared" si="9"/>
        <v>0</v>
      </c>
      <c r="T43" s="106">
        <f t="shared" si="10"/>
        <v>0</v>
      </c>
      <c r="V43" s="107">
        <f>($C43-$E43)*$F43*Variables!$C$16*Factores!$J$4*1000*Factores!U$4/1000000*$J43/365</f>
        <v>0</v>
      </c>
      <c r="W43" s="107">
        <f>($C43-$E43)*$F43*Variables!$C$16*Factores!$J$4*1000*Factores!V$4/1000000*$J43/365</f>
        <v>0</v>
      </c>
      <c r="X43" s="107">
        <f>($C43-$E43)*$F43*Variables!$C$16*Factores!$J$4*1000*Factores!W$4/1000000*$J43/365</f>
        <v>0</v>
      </c>
      <c r="Y43" s="107">
        <f>($C43-$E43)*$F43*Variables!$C$16*Factores!$J$4*1000*Factores!X$4/1000000*$J43/365</f>
        <v>0</v>
      </c>
      <c r="Z43" s="107">
        <f>($C43-$E43)*$F43*Variables!$C$16*Factores!$J$4*1000*Factores!Y$4/1000000*$J43/365</f>
        <v>0</v>
      </c>
      <c r="AA43" s="107">
        <f>($C43-$E43)*$F43*Variables!$C$16*Factores!$J$4*1000*Factores!Z$4/1000000*$J43/365</f>
        <v>0</v>
      </c>
      <c r="AB43" s="107">
        <f>($C43-$E43)*$F43*Variables!$C$16*Factores!$J$4*1000*Factores!AA$4/1000000*$J43/365</f>
        <v>0</v>
      </c>
    </row>
    <row r="44" spans="2:28" x14ac:dyDescent="0.2">
      <c r="B44" s="97" t="s">
        <v>73</v>
      </c>
      <c r="C44" s="98">
        <v>2.8233333333333328</v>
      </c>
      <c r="D44" s="99" t="s">
        <v>211</v>
      </c>
      <c r="E44" s="100">
        <v>1.1599999999999999</v>
      </c>
      <c r="F44" s="101">
        <v>2662</v>
      </c>
      <c r="G44" s="101" t="s">
        <v>133</v>
      </c>
      <c r="H44" s="97">
        <v>2011</v>
      </c>
      <c r="I44" s="102">
        <v>43936</v>
      </c>
      <c r="J44" s="103">
        <v>288</v>
      </c>
      <c r="K44" s="104">
        <v>44321</v>
      </c>
      <c r="L44" s="97" t="s">
        <v>77</v>
      </c>
      <c r="M44" s="97" t="s">
        <v>78</v>
      </c>
      <c r="N44" s="97" t="s">
        <v>138</v>
      </c>
      <c r="O44" s="105">
        <f>(C44-E44)*((Factores!$F$5*Factores!$L$4)+Factores!$N$4*Factores!$L$20+Factores!$P$4*Factores!$L$21)*Factores!$J$4*F44*Variables!$C$16*J44/365</f>
        <v>6490.7390962786167</v>
      </c>
      <c r="Q44" s="106">
        <f>Factores!$J$4*C44*F44*(Factores!$F$5*Factores!$L$4+Factores!$N$4*Factores!$L$20+Factores!$P$4*Factores!$L$21)*Variables!$C$16*J44/365</f>
        <v>11017.34672254106</v>
      </c>
      <c r="R44" s="106">
        <f>Factores!$J$4*E44*F44*(Factores!$F$5*Factores!$L$4+Factores!$N$4*Factores!$L$20+Factores!$P$4*Factores!$L$21)*Variables!$C$16*J44/365</f>
        <v>4526.607626262442</v>
      </c>
      <c r="S44" s="106">
        <f t="shared" si="9"/>
        <v>6490.7390962786185</v>
      </c>
      <c r="T44" s="106">
        <f t="shared" si="10"/>
        <v>0</v>
      </c>
      <c r="V44" s="107">
        <f>($C44-$E44)*$F44*Variables!$C$16*Factores!$J$4*1000*Factores!U$4/1000000*$J44/365</f>
        <v>828.42872958246539</v>
      </c>
      <c r="W44" s="107">
        <f>($C44-$E44)*$F44*Variables!$C$16*Factores!$J$4*1000*Factores!V$4/1000000*$J44/365</f>
        <v>10.355359119780816</v>
      </c>
      <c r="X44" s="107">
        <f>($C44-$E44)*$F44*Variables!$C$16*Factores!$J$4*1000*Factores!W$4/1000000*$J44/365</f>
        <v>124.26430943736979</v>
      </c>
      <c r="Y44" s="107">
        <f>($C44-$E44)*$F44*Variables!$C$16*Factores!$J$4*1000*Factores!X$4/1000000*$J44/365</f>
        <v>2.2781790063517797</v>
      </c>
      <c r="Z44" s="107">
        <f>($C44-$E44)*$F44*Variables!$C$16*Factores!$J$4*1000*Factores!Y$4/1000000*$J44/365</f>
        <v>157.40145862066842</v>
      </c>
      <c r="AA44" s="107">
        <f>($C44-$E44)*$F44*Variables!$C$16*Factores!$J$4*1000*Factores!Z$4/1000000*$J44/365</f>
        <v>153.25931497275607</v>
      </c>
      <c r="AB44" s="107">
        <f>($C44-$E44)*$F44*Variables!$C$16*Factores!$J$4*1000*Factores!AA$4/1000000*$J44/365</f>
        <v>15.325931497275608</v>
      </c>
    </row>
    <row r="45" spans="2:28" x14ac:dyDescent="0.2">
      <c r="B45" s="220" t="s">
        <v>224</v>
      </c>
      <c r="C45" s="221"/>
      <c r="D45" s="221"/>
      <c r="E45" s="221"/>
      <c r="F45" s="221"/>
      <c r="G45" s="221"/>
      <c r="H45" s="221"/>
      <c r="I45" s="221"/>
      <c r="J45" s="222"/>
      <c r="K45" s="223"/>
      <c r="L45" s="224"/>
      <c r="M45" s="224"/>
      <c r="N45" s="224"/>
      <c r="O45" s="225"/>
      <c r="V45" s="109">
        <f>SUM(V24:V44)</f>
        <v>16643.773184128575</v>
      </c>
      <c r="W45" s="109">
        <f t="shared" ref="W45:AB45" si="11">SUM(W24:W44)</f>
        <v>208.04716480160718</v>
      </c>
      <c r="X45" s="109">
        <f t="shared" si="11"/>
        <v>2496.5659776192861</v>
      </c>
      <c r="Y45" s="109">
        <f t="shared" si="11"/>
        <v>45.770376256353572</v>
      </c>
      <c r="Z45" s="109">
        <f t="shared" si="11"/>
        <v>3162.3169049844282</v>
      </c>
      <c r="AA45" s="109">
        <f t="shared" si="11"/>
        <v>3079.0980390637856</v>
      </c>
      <c r="AB45" s="109">
        <f t="shared" si="11"/>
        <v>307.90980390637861</v>
      </c>
    </row>
    <row r="46" spans="2:28" x14ac:dyDescent="0.2">
      <c r="B46" s="97" t="s">
        <v>73</v>
      </c>
      <c r="C46" s="98">
        <v>2.8233333333333328</v>
      </c>
      <c r="D46" s="99" t="s">
        <v>71</v>
      </c>
      <c r="E46" s="111"/>
      <c r="F46" s="101"/>
      <c r="G46" s="101" t="s">
        <v>131</v>
      </c>
      <c r="H46" s="97">
        <v>2012</v>
      </c>
      <c r="I46" s="102"/>
      <c r="J46" s="112"/>
      <c r="K46" s="104">
        <v>44345</v>
      </c>
      <c r="L46" s="97" t="s">
        <v>77</v>
      </c>
      <c r="M46" s="97" t="s">
        <v>78</v>
      </c>
      <c r="N46" s="97" t="s">
        <v>138</v>
      </c>
      <c r="O46" s="112"/>
    </row>
    <row r="47" spans="2:28" x14ac:dyDescent="0.2">
      <c r="B47" s="97" t="s">
        <v>73</v>
      </c>
      <c r="C47" s="98">
        <v>2.8233333333333328</v>
      </c>
      <c r="D47" s="99" t="s">
        <v>71</v>
      </c>
      <c r="E47" s="111"/>
      <c r="F47" s="101"/>
      <c r="G47" s="101" t="s">
        <v>132</v>
      </c>
      <c r="H47" s="97">
        <v>2012</v>
      </c>
      <c r="I47" s="102"/>
      <c r="J47" s="112"/>
      <c r="K47" s="104"/>
      <c r="L47" s="97"/>
      <c r="M47" s="97"/>
      <c r="N47" s="97"/>
      <c r="O47" s="112"/>
    </row>
    <row r="48" spans="2:28" x14ac:dyDescent="0.2">
      <c r="B48" s="97" t="s">
        <v>73</v>
      </c>
      <c r="C48" s="98">
        <v>2.8233333333333301</v>
      </c>
      <c r="D48" s="99" t="s">
        <v>71</v>
      </c>
      <c r="E48" s="111"/>
      <c r="F48" s="101"/>
      <c r="G48" s="101" t="s">
        <v>133</v>
      </c>
      <c r="H48" s="97">
        <v>2012</v>
      </c>
      <c r="I48" s="102"/>
      <c r="J48" s="112"/>
      <c r="K48" s="104"/>
      <c r="L48" s="97"/>
      <c r="M48" s="97"/>
      <c r="N48" s="97"/>
      <c r="O48" s="112"/>
    </row>
    <row r="49" spans="2:15" x14ac:dyDescent="0.2">
      <c r="B49" s="97" t="s">
        <v>73</v>
      </c>
      <c r="C49" s="98">
        <v>2.8233333333333301</v>
      </c>
      <c r="D49" s="99" t="s">
        <v>210</v>
      </c>
      <c r="E49" s="111"/>
      <c r="F49" s="101"/>
      <c r="G49" s="101" t="s">
        <v>131</v>
      </c>
      <c r="H49" s="97">
        <v>2012</v>
      </c>
      <c r="I49" s="102"/>
      <c r="J49" s="112"/>
      <c r="K49" s="104">
        <v>44357</v>
      </c>
      <c r="L49" s="97" t="s">
        <v>77</v>
      </c>
      <c r="M49" s="97" t="s">
        <v>78</v>
      </c>
      <c r="N49" s="97" t="s">
        <v>79</v>
      </c>
      <c r="O49" s="112"/>
    </row>
    <row r="50" spans="2:15" x14ac:dyDescent="0.2">
      <c r="B50" s="97" t="s">
        <v>73</v>
      </c>
      <c r="C50" s="98">
        <v>2.8233333333333301</v>
      </c>
      <c r="D50" s="99" t="s">
        <v>210</v>
      </c>
      <c r="E50" s="111"/>
      <c r="F50" s="101"/>
      <c r="G50" s="101" t="s">
        <v>132</v>
      </c>
      <c r="H50" s="97">
        <v>2012</v>
      </c>
      <c r="I50" s="102"/>
      <c r="J50" s="112"/>
      <c r="K50" s="104"/>
      <c r="L50" s="97"/>
      <c r="M50" s="97"/>
      <c r="N50" s="97"/>
      <c r="O50" s="112"/>
    </row>
    <row r="51" spans="2:15" x14ac:dyDescent="0.2">
      <c r="B51" s="97" t="s">
        <v>73</v>
      </c>
      <c r="C51" s="98">
        <v>2.8233333333333301</v>
      </c>
      <c r="D51" s="99" t="s">
        <v>210</v>
      </c>
      <c r="E51" s="111"/>
      <c r="F51" s="101"/>
      <c r="G51" s="101" t="s">
        <v>133</v>
      </c>
      <c r="H51" s="97">
        <v>2012</v>
      </c>
      <c r="I51" s="102"/>
      <c r="J51" s="112"/>
      <c r="K51" s="104"/>
      <c r="L51" s="97"/>
      <c r="M51" s="97"/>
      <c r="N51" s="97"/>
      <c r="O51" s="112"/>
    </row>
    <row r="52" spans="2:15" x14ac:dyDescent="0.2">
      <c r="B52" s="97" t="s">
        <v>73</v>
      </c>
      <c r="C52" s="98">
        <v>2.8233333333333301</v>
      </c>
      <c r="D52" s="99" t="s">
        <v>212</v>
      </c>
      <c r="E52" s="111"/>
      <c r="F52" s="101"/>
      <c r="G52" s="101" t="s">
        <v>131</v>
      </c>
      <c r="H52" s="97">
        <v>2012</v>
      </c>
      <c r="I52" s="102"/>
      <c r="J52" s="112"/>
      <c r="K52" s="104">
        <v>44369</v>
      </c>
      <c r="L52" s="97" t="s">
        <v>77</v>
      </c>
      <c r="M52" s="97" t="s">
        <v>78</v>
      </c>
      <c r="N52" s="97" t="s">
        <v>138</v>
      </c>
      <c r="O52" s="112"/>
    </row>
    <row r="53" spans="2:15" x14ac:dyDescent="0.2">
      <c r="B53" s="97" t="s">
        <v>73</v>
      </c>
      <c r="C53" s="98">
        <v>2.8233333333333301</v>
      </c>
      <c r="D53" s="99" t="s">
        <v>212</v>
      </c>
      <c r="E53" s="111"/>
      <c r="F53" s="101"/>
      <c r="G53" s="101" t="s">
        <v>132</v>
      </c>
      <c r="H53" s="97">
        <v>2012</v>
      </c>
      <c r="I53" s="102"/>
      <c r="J53" s="112"/>
      <c r="K53" s="104"/>
      <c r="L53" s="97"/>
      <c r="M53" s="97"/>
      <c r="N53" s="97"/>
      <c r="O53" s="112"/>
    </row>
    <row r="54" spans="2:15" x14ac:dyDescent="0.2">
      <c r="B54" s="97" t="s">
        <v>73</v>
      </c>
      <c r="C54" s="98">
        <v>2.8233333333333301</v>
      </c>
      <c r="D54" s="99" t="s">
        <v>212</v>
      </c>
      <c r="E54" s="111"/>
      <c r="F54" s="101"/>
      <c r="G54" s="101" t="s">
        <v>133</v>
      </c>
      <c r="H54" s="97">
        <v>2012</v>
      </c>
      <c r="I54" s="102"/>
      <c r="J54" s="112"/>
      <c r="K54" s="104"/>
      <c r="L54" s="97"/>
      <c r="M54" s="97"/>
      <c r="N54" s="97"/>
      <c r="O54" s="112"/>
    </row>
    <row r="55" spans="2:15" x14ac:dyDescent="0.2">
      <c r="B55" s="97" t="s">
        <v>73</v>
      </c>
      <c r="C55" s="98">
        <v>2.8233333333333301</v>
      </c>
      <c r="D55" s="99" t="s">
        <v>213</v>
      </c>
      <c r="E55" s="111"/>
      <c r="F55" s="101"/>
      <c r="G55" s="101" t="s">
        <v>131</v>
      </c>
      <c r="H55" s="97">
        <v>2012</v>
      </c>
      <c r="I55" s="102"/>
      <c r="J55" s="112"/>
      <c r="K55" s="104">
        <v>44381</v>
      </c>
      <c r="L55" s="97" t="s">
        <v>77</v>
      </c>
      <c r="M55" s="97" t="s">
        <v>78</v>
      </c>
      <c r="N55" s="97" t="s">
        <v>79</v>
      </c>
      <c r="O55" s="112"/>
    </row>
    <row r="56" spans="2:15" x14ac:dyDescent="0.2">
      <c r="B56" s="97" t="s">
        <v>73</v>
      </c>
      <c r="C56" s="98">
        <v>2.8233333333333301</v>
      </c>
      <c r="D56" s="99" t="s">
        <v>213</v>
      </c>
      <c r="E56" s="111"/>
      <c r="F56" s="101"/>
      <c r="G56" s="101" t="s">
        <v>132</v>
      </c>
      <c r="H56" s="97">
        <v>2012</v>
      </c>
      <c r="I56" s="102"/>
      <c r="J56" s="112"/>
      <c r="K56" s="104"/>
      <c r="L56" s="97"/>
      <c r="M56" s="97"/>
      <c r="N56" s="97"/>
      <c r="O56" s="112"/>
    </row>
    <row r="57" spans="2:15" x14ac:dyDescent="0.2">
      <c r="B57" s="97" t="s">
        <v>73</v>
      </c>
      <c r="C57" s="98">
        <v>2.8233333333333301</v>
      </c>
      <c r="D57" s="99" t="s">
        <v>213</v>
      </c>
      <c r="E57" s="111"/>
      <c r="F57" s="101"/>
      <c r="G57" s="101" t="s">
        <v>133</v>
      </c>
      <c r="H57" s="97">
        <v>2012</v>
      </c>
      <c r="I57" s="102"/>
      <c r="J57" s="112"/>
      <c r="K57" s="104"/>
      <c r="L57" s="97"/>
      <c r="M57" s="97"/>
      <c r="N57" s="97"/>
      <c r="O57" s="112"/>
    </row>
    <row r="58" spans="2:15" x14ac:dyDescent="0.2">
      <c r="B58" s="97" t="s">
        <v>73</v>
      </c>
      <c r="C58" s="98">
        <v>2.8233333333333301</v>
      </c>
      <c r="D58" s="99" t="s">
        <v>214</v>
      </c>
      <c r="E58" s="111"/>
      <c r="F58" s="101"/>
      <c r="G58" s="101" t="s">
        <v>131</v>
      </c>
      <c r="H58" s="97">
        <v>2012</v>
      </c>
      <c r="I58" s="102"/>
      <c r="J58" s="112"/>
      <c r="K58" s="104">
        <v>44393</v>
      </c>
      <c r="L58" s="97" t="s">
        <v>77</v>
      </c>
      <c r="M58" s="97" t="s">
        <v>78</v>
      </c>
      <c r="N58" s="97" t="s">
        <v>138</v>
      </c>
      <c r="O58" s="112"/>
    </row>
    <row r="59" spans="2:15" x14ac:dyDescent="0.2">
      <c r="B59" s="97" t="s">
        <v>73</v>
      </c>
      <c r="C59" s="98">
        <v>2.8233333333333301</v>
      </c>
      <c r="D59" s="99" t="s">
        <v>214</v>
      </c>
      <c r="E59" s="111"/>
      <c r="F59" s="101"/>
      <c r="G59" s="101" t="s">
        <v>132</v>
      </c>
      <c r="H59" s="97">
        <v>2012</v>
      </c>
      <c r="I59" s="102"/>
      <c r="J59" s="112"/>
      <c r="K59" s="104"/>
      <c r="L59" s="97"/>
      <c r="M59" s="97"/>
      <c r="N59" s="97"/>
      <c r="O59" s="112"/>
    </row>
    <row r="60" spans="2:15" x14ac:dyDescent="0.2">
      <c r="B60" s="97" t="s">
        <v>73</v>
      </c>
      <c r="C60" s="98">
        <v>2.8233333333333301</v>
      </c>
      <c r="D60" s="99" t="s">
        <v>214</v>
      </c>
      <c r="E60" s="111"/>
      <c r="F60" s="101"/>
      <c r="G60" s="101" t="s">
        <v>133</v>
      </c>
      <c r="H60" s="97">
        <v>2012</v>
      </c>
      <c r="I60" s="102"/>
      <c r="J60" s="112"/>
      <c r="K60" s="104"/>
      <c r="L60" s="97"/>
      <c r="M60" s="97"/>
      <c r="N60" s="97"/>
      <c r="O60" s="112"/>
    </row>
    <row r="61" spans="2:15" x14ac:dyDescent="0.2">
      <c r="B61" s="220" t="s">
        <v>224</v>
      </c>
      <c r="C61" s="221"/>
      <c r="D61" s="221"/>
      <c r="E61" s="221"/>
      <c r="F61" s="221"/>
      <c r="G61" s="221"/>
      <c r="H61" s="221"/>
      <c r="I61" s="221"/>
      <c r="J61" s="222"/>
      <c r="K61" s="104">
        <v>44405</v>
      </c>
      <c r="L61" s="97" t="s">
        <v>77</v>
      </c>
      <c r="M61" s="97" t="s">
        <v>78</v>
      </c>
      <c r="N61" s="97" t="s">
        <v>79</v>
      </c>
      <c r="O61" s="112"/>
    </row>
    <row r="62" spans="2:15" x14ac:dyDescent="0.2">
      <c r="B62" s="97" t="s">
        <v>73</v>
      </c>
      <c r="C62" s="98">
        <v>2.8233333333333328</v>
      </c>
      <c r="D62" s="99" t="s">
        <v>71</v>
      </c>
      <c r="E62" s="111"/>
      <c r="F62" s="101"/>
      <c r="G62" s="101" t="s">
        <v>131</v>
      </c>
      <c r="H62" s="97">
        <v>2013</v>
      </c>
      <c r="I62" s="102"/>
      <c r="J62" s="112"/>
      <c r="K62" s="104">
        <v>44417</v>
      </c>
      <c r="L62" s="97" t="s">
        <v>77</v>
      </c>
      <c r="M62" s="97" t="s">
        <v>78</v>
      </c>
      <c r="N62" s="97" t="s">
        <v>138</v>
      </c>
      <c r="O62" s="112"/>
    </row>
    <row r="63" spans="2:15" x14ac:dyDescent="0.2">
      <c r="B63" s="97" t="s">
        <v>73</v>
      </c>
      <c r="C63" s="98">
        <v>2.8233333333333328</v>
      </c>
      <c r="D63" s="99" t="s">
        <v>71</v>
      </c>
      <c r="E63" s="111"/>
      <c r="F63" s="101"/>
      <c r="G63" s="101" t="s">
        <v>132</v>
      </c>
      <c r="H63" s="97">
        <v>2013</v>
      </c>
      <c r="I63" s="102"/>
      <c r="J63" s="112"/>
      <c r="K63" s="104"/>
      <c r="L63" s="97"/>
      <c r="M63" s="97"/>
      <c r="N63" s="97"/>
      <c r="O63" s="112"/>
    </row>
    <row r="64" spans="2:15" x14ac:dyDescent="0.2">
      <c r="B64" s="97" t="s">
        <v>73</v>
      </c>
      <c r="C64" s="98">
        <v>2.8233333333333328</v>
      </c>
      <c r="D64" s="99" t="s">
        <v>71</v>
      </c>
      <c r="E64" s="111"/>
      <c r="F64" s="101"/>
      <c r="G64" s="101" t="s">
        <v>133</v>
      </c>
      <c r="H64" s="97">
        <v>2013</v>
      </c>
      <c r="I64" s="102"/>
      <c r="J64" s="112"/>
      <c r="K64" s="104"/>
      <c r="L64" s="97"/>
      <c r="M64" s="97"/>
      <c r="N64" s="97"/>
      <c r="O64" s="112"/>
    </row>
    <row r="65" spans="2:15" x14ac:dyDescent="0.2">
      <c r="B65" s="97" t="s">
        <v>73</v>
      </c>
      <c r="C65" s="98">
        <v>2.8233333333333328</v>
      </c>
      <c r="D65" s="99" t="s">
        <v>210</v>
      </c>
      <c r="E65" s="111"/>
      <c r="F65" s="101"/>
      <c r="G65" s="101" t="s">
        <v>131</v>
      </c>
      <c r="H65" s="97">
        <v>2013</v>
      </c>
      <c r="I65" s="102"/>
      <c r="J65" s="112"/>
      <c r="K65" s="104">
        <v>44429</v>
      </c>
      <c r="L65" s="97" t="s">
        <v>77</v>
      </c>
      <c r="M65" s="97" t="s">
        <v>78</v>
      </c>
      <c r="N65" s="97" t="s">
        <v>79</v>
      </c>
      <c r="O65" s="112"/>
    </row>
    <row r="66" spans="2:15" x14ac:dyDescent="0.2">
      <c r="B66" s="97" t="s">
        <v>73</v>
      </c>
      <c r="C66" s="98">
        <v>2.8233333333333328</v>
      </c>
      <c r="D66" s="99" t="s">
        <v>210</v>
      </c>
      <c r="E66" s="111"/>
      <c r="F66" s="101"/>
      <c r="G66" s="101" t="s">
        <v>132</v>
      </c>
      <c r="H66" s="97">
        <v>2013</v>
      </c>
      <c r="I66" s="102"/>
      <c r="J66" s="112"/>
      <c r="K66" s="104"/>
      <c r="L66" s="97"/>
      <c r="M66" s="97"/>
      <c r="N66" s="97"/>
      <c r="O66" s="112"/>
    </row>
    <row r="67" spans="2:15" x14ac:dyDescent="0.2">
      <c r="B67" s="97" t="s">
        <v>73</v>
      </c>
      <c r="C67" s="98">
        <v>2.8233333333333328</v>
      </c>
      <c r="D67" s="99" t="s">
        <v>210</v>
      </c>
      <c r="E67" s="111"/>
      <c r="F67" s="101"/>
      <c r="G67" s="101" t="s">
        <v>133</v>
      </c>
      <c r="H67" s="97">
        <v>2013</v>
      </c>
      <c r="I67" s="102"/>
      <c r="J67" s="112"/>
      <c r="K67" s="104"/>
      <c r="L67" s="97"/>
      <c r="M67" s="97"/>
      <c r="N67" s="97"/>
      <c r="O67" s="112"/>
    </row>
    <row r="68" spans="2:15" x14ac:dyDescent="0.2">
      <c r="B68" s="97" t="s">
        <v>73</v>
      </c>
      <c r="C68" s="98">
        <v>2.8233333333333328</v>
      </c>
      <c r="D68" s="99" t="s">
        <v>212</v>
      </c>
      <c r="E68" s="111"/>
      <c r="F68" s="101"/>
      <c r="G68" s="101" t="s">
        <v>131</v>
      </c>
      <c r="H68" s="97">
        <v>2013</v>
      </c>
      <c r="I68" s="102"/>
      <c r="J68" s="112"/>
      <c r="K68" s="104">
        <v>44441</v>
      </c>
      <c r="L68" s="97" t="s">
        <v>77</v>
      </c>
      <c r="M68" s="97" t="s">
        <v>78</v>
      </c>
      <c r="N68" s="97" t="s">
        <v>138</v>
      </c>
      <c r="O68" s="112"/>
    </row>
    <row r="69" spans="2:15" x14ac:dyDescent="0.2">
      <c r="B69" s="97" t="s">
        <v>73</v>
      </c>
      <c r="C69" s="98">
        <v>2.8233333333333328</v>
      </c>
      <c r="D69" s="99" t="s">
        <v>212</v>
      </c>
      <c r="E69" s="111"/>
      <c r="F69" s="101"/>
      <c r="G69" s="101" t="s">
        <v>132</v>
      </c>
      <c r="H69" s="97">
        <v>2013</v>
      </c>
      <c r="I69" s="102"/>
      <c r="J69" s="112"/>
      <c r="K69" s="104"/>
      <c r="L69" s="97"/>
      <c r="M69" s="97"/>
      <c r="N69" s="97"/>
      <c r="O69" s="112"/>
    </row>
    <row r="70" spans="2:15" x14ac:dyDescent="0.2">
      <c r="B70" s="97" t="s">
        <v>73</v>
      </c>
      <c r="C70" s="98">
        <v>2.8233333333333328</v>
      </c>
      <c r="D70" s="99" t="s">
        <v>212</v>
      </c>
      <c r="E70" s="111"/>
      <c r="F70" s="101"/>
      <c r="G70" s="101" t="s">
        <v>133</v>
      </c>
      <c r="H70" s="97">
        <v>2013</v>
      </c>
      <c r="I70" s="102"/>
      <c r="J70" s="112"/>
      <c r="K70" s="104"/>
      <c r="L70" s="97"/>
      <c r="M70" s="97"/>
      <c r="N70" s="97"/>
      <c r="O70" s="112"/>
    </row>
    <row r="71" spans="2:15" x14ac:dyDescent="0.2">
      <c r="B71" s="97" t="s">
        <v>73</v>
      </c>
      <c r="C71" s="98">
        <v>2.8233333333333328</v>
      </c>
      <c r="D71" s="99" t="s">
        <v>209</v>
      </c>
      <c r="E71" s="111"/>
      <c r="F71" s="101"/>
      <c r="G71" s="101" t="s">
        <v>131</v>
      </c>
      <c r="H71" s="97">
        <v>2013</v>
      </c>
      <c r="I71" s="102"/>
      <c r="J71" s="112"/>
      <c r="K71" s="104">
        <v>44453</v>
      </c>
      <c r="L71" s="97" t="s">
        <v>77</v>
      </c>
      <c r="M71" s="97" t="s">
        <v>78</v>
      </c>
      <c r="N71" s="97" t="s">
        <v>79</v>
      </c>
      <c r="O71" s="112"/>
    </row>
    <row r="72" spans="2:15" x14ac:dyDescent="0.2">
      <c r="B72" s="97" t="s">
        <v>73</v>
      </c>
      <c r="C72" s="98">
        <v>2.8233333333333328</v>
      </c>
      <c r="D72" s="99" t="s">
        <v>209</v>
      </c>
      <c r="E72" s="111"/>
      <c r="F72" s="101"/>
      <c r="G72" s="101" t="s">
        <v>132</v>
      </c>
      <c r="H72" s="97">
        <v>2013</v>
      </c>
      <c r="I72" s="102"/>
      <c r="J72" s="112"/>
      <c r="K72" s="104"/>
      <c r="L72" s="97"/>
      <c r="M72" s="97"/>
      <c r="N72" s="97"/>
      <c r="O72" s="112"/>
    </row>
    <row r="73" spans="2:15" x14ac:dyDescent="0.2">
      <c r="B73" s="97" t="s">
        <v>73</v>
      </c>
      <c r="C73" s="98">
        <v>2.8233333333333328</v>
      </c>
      <c r="D73" s="99" t="s">
        <v>209</v>
      </c>
      <c r="E73" s="111"/>
      <c r="F73" s="101"/>
      <c r="G73" s="101" t="s">
        <v>133</v>
      </c>
      <c r="H73" s="97">
        <v>2013</v>
      </c>
      <c r="I73" s="102"/>
      <c r="J73" s="112"/>
      <c r="K73" s="104"/>
      <c r="L73" s="97"/>
      <c r="M73" s="97"/>
      <c r="N73" s="97"/>
      <c r="O73" s="112"/>
    </row>
    <row r="74" spans="2:15" x14ac:dyDescent="0.2">
      <c r="B74" s="97" t="s">
        <v>73</v>
      </c>
      <c r="C74" s="98">
        <v>2.8233333333333328</v>
      </c>
      <c r="D74" s="99" t="s">
        <v>213</v>
      </c>
      <c r="E74" s="111"/>
      <c r="F74" s="101"/>
      <c r="G74" s="101" t="s">
        <v>131</v>
      </c>
      <c r="H74" s="97">
        <v>2013</v>
      </c>
      <c r="I74" s="102"/>
      <c r="J74" s="112"/>
      <c r="K74" s="104">
        <v>44465</v>
      </c>
      <c r="L74" s="97" t="s">
        <v>77</v>
      </c>
      <c r="M74" s="97" t="s">
        <v>78</v>
      </c>
      <c r="N74" s="97" t="s">
        <v>138</v>
      </c>
      <c r="O74" s="112"/>
    </row>
    <row r="75" spans="2:15" x14ac:dyDescent="0.2">
      <c r="B75" s="97" t="s">
        <v>73</v>
      </c>
      <c r="C75" s="98">
        <v>2.8233333333333328</v>
      </c>
      <c r="D75" s="99" t="s">
        <v>213</v>
      </c>
      <c r="E75" s="111"/>
      <c r="F75" s="101"/>
      <c r="G75" s="101" t="s">
        <v>132</v>
      </c>
      <c r="H75" s="97">
        <v>2013</v>
      </c>
      <c r="I75" s="102"/>
      <c r="J75" s="112"/>
      <c r="K75" s="104"/>
      <c r="L75" s="97"/>
      <c r="M75" s="97"/>
      <c r="N75" s="97"/>
      <c r="O75" s="112"/>
    </row>
    <row r="76" spans="2:15" x14ac:dyDescent="0.2">
      <c r="B76" s="97" t="s">
        <v>73</v>
      </c>
      <c r="C76" s="98">
        <v>2.8233333333333328</v>
      </c>
      <c r="D76" s="99" t="s">
        <v>213</v>
      </c>
      <c r="E76" s="111"/>
      <c r="F76" s="101"/>
      <c r="G76" s="101" t="s">
        <v>133</v>
      </c>
      <c r="H76" s="97">
        <v>2013</v>
      </c>
      <c r="I76" s="102"/>
      <c r="J76" s="112"/>
      <c r="K76" s="104"/>
      <c r="L76" s="97"/>
      <c r="M76" s="97"/>
      <c r="N76" s="97"/>
      <c r="O76" s="112"/>
    </row>
    <row r="77" spans="2:15" x14ac:dyDescent="0.2">
      <c r="B77" s="97" t="s">
        <v>73</v>
      </c>
      <c r="C77" s="98">
        <v>2.8233333333333328</v>
      </c>
      <c r="D77" s="99" t="s">
        <v>214</v>
      </c>
      <c r="E77" s="111"/>
      <c r="F77" s="101"/>
      <c r="G77" s="101" t="s">
        <v>131</v>
      </c>
      <c r="H77" s="97">
        <v>2013</v>
      </c>
      <c r="I77" s="102"/>
      <c r="J77" s="112"/>
      <c r="K77" s="104">
        <v>44477</v>
      </c>
      <c r="L77" s="97" t="s">
        <v>77</v>
      </c>
      <c r="M77" s="97" t="s">
        <v>78</v>
      </c>
      <c r="N77" s="97" t="s">
        <v>79</v>
      </c>
      <c r="O77" s="112"/>
    </row>
    <row r="78" spans="2:15" x14ac:dyDescent="0.2">
      <c r="B78" s="97" t="s">
        <v>73</v>
      </c>
      <c r="C78" s="98">
        <v>2.8233333333333328</v>
      </c>
      <c r="D78" s="99" t="s">
        <v>214</v>
      </c>
      <c r="E78" s="111"/>
      <c r="F78" s="101"/>
      <c r="G78" s="101" t="s">
        <v>132</v>
      </c>
      <c r="H78" s="97">
        <v>2013</v>
      </c>
      <c r="I78" s="102"/>
      <c r="J78" s="112"/>
      <c r="K78" s="104"/>
      <c r="L78" s="97"/>
      <c r="M78" s="97"/>
      <c r="N78" s="97"/>
      <c r="O78" s="112"/>
    </row>
    <row r="79" spans="2:15" x14ac:dyDescent="0.2">
      <c r="B79" s="97" t="s">
        <v>73</v>
      </c>
      <c r="C79" s="98">
        <v>2.8233333333333328</v>
      </c>
      <c r="D79" s="99" t="s">
        <v>214</v>
      </c>
      <c r="E79" s="111"/>
      <c r="F79" s="101"/>
      <c r="G79" s="101" t="s">
        <v>133</v>
      </c>
      <c r="H79" s="97">
        <v>2013</v>
      </c>
      <c r="I79" s="102"/>
      <c r="J79" s="112"/>
      <c r="K79" s="104"/>
      <c r="L79" s="97"/>
      <c r="M79" s="97"/>
      <c r="N79" s="97"/>
      <c r="O79" s="112"/>
    </row>
    <row r="80" spans="2:15" x14ac:dyDescent="0.2">
      <c r="B80" s="97" t="s">
        <v>73</v>
      </c>
      <c r="C80" s="98">
        <v>2.8233333333333328</v>
      </c>
      <c r="D80" s="99" t="s">
        <v>211</v>
      </c>
      <c r="E80" s="111"/>
      <c r="F80" s="101"/>
      <c r="G80" s="101" t="s">
        <v>131</v>
      </c>
      <c r="H80" s="97">
        <v>2013</v>
      </c>
      <c r="I80" s="102"/>
      <c r="J80" s="112"/>
      <c r="K80" s="104">
        <v>44489</v>
      </c>
      <c r="L80" s="97" t="s">
        <v>77</v>
      </c>
      <c r="M80" s="97" t="s">
        <v>78</v>
      </c>
      <c r="N80" s="97" t="s">
        <v>138</v>
      </c>
      <c r="O80" s="112"/>
    </row>
    <row r="81" spans="2:15" x14ac:dyDescent="0.2">
      <c r="B81" s="97" t="s">
        <v>73</v>
      </c>
      <c r="C81" s="98">
        <v>2.8233333333333328</v>
      </c>
      <c r="D81" s="99" t="s">
        <v>211</v>
      </c>
      <c r="E81" s="111"/>
      <c r="F81" s="101"/>
      <c r="G81" s="101" t="s">
        <v>132</v>
      </c>
      <c r="H81" s="97">
        <v>2013</v>
      </c>
      <c r="I81" s="102"/>
      <c r="J81" s="112"/>
      <c r="K81" s="104"/>
      <c r="L81" s="97"/>
      <c r="M81" s="97"/>
      <c r="N81" s="97"/>
      <c r="O81" s="112"/>
    </row>
    <row r="82" spans="2:15" x14ac:dyDescent="0.2">
      <c r="B82" s="97" t="s">
        <v>73</v>
      </c>
      <c r="C82" s="98">
        <v>2.8233333333333301</v>
      </c>
      <c r="D82" s="99" t="s">
        <v>211</v>
      </c>
      <c r="E82" s="111"/>
      <c r="F82" s="101"/>
      <c r="G82" s="101" t="s">
        <v>133</v>
      </c>
      <c r="H82" s="97">
        <v>2013</v>
      </c>
      <c r="I82" s="102"/>
      <c r="J82" s="112"/>
      <c r="K82" s="104"/>
      <c r="L82" s="97"/>
      <c r="M82" s="97"/>
      <c r="N82" s="97"/>
      <c r="O82" s="112"/>
    </row>
    <row r="83" spans="2:15" x14ac:dyDescent="0.2">
      <c r="B83" s="220" t="s">
        <v>224</v>
      </c>
      <c r="C83" s="221"/>
      <c r="D83" s="221"/>
      <c r="E83" s="221"/>
      <c r="F83" s="221"/>
      <c r="G83" s="221"/>
      <c r="H83" s="221"/>
      <c r="I83" s="221"/>
      <c r="J83" s="222"/>
      <c r="K83" s="104">
        <v>44501</v>
      </c>
      <c r="L83" s="97" t="s">
        <v>77</v>
      </c>
      <c r="M83" s="97" t="s">
        <v>78</v>
      </c>
      <c r="N83" s="97" t="s">
        <v>79</v>
      </c>
      <c r="O83" s="112"/>
    </row>
    <row r="84" spans="2:15" x14ac:dyDescent="0.2">
      <c r="B84" s="97" t="s">
        <v>73</v>
      </c>
      <c r="C84" s="98">
        <v>2.8233333333333328</v>
      </c>
      <c r="D84" s="99" t="s">
        <v>71</v>
      </c>
      <c r="E84" s="111"/>
      <c r="F84" s="101"/>
      <c r="G84" s="101" t="s">
        <v>131</v>
      </c>
      <c r="H84" s="97">
        <v>2014</v>
      </c>
      <c r="I84" s="102"/>
      <c r="J84" s="112"/>
      <c r="K84" s="104">
        <v>44513</v>
      </c>
      <c r="L84" s="97" t="s">
        <v>77</v>
      </c>
      <c r="M84" s="97" t="s">
        <v>78</v>
      </c>
      <c r="N84" s="97" t="s">
        <v>138</v>
      </c>
      <c r="O84" s="112"/>
    </row>
    <row r="85" spans="2:15" x14ac:dyDescent="0.2">
      <c r="B85" s="97" t="s">
        <v>73</v>
      </c>
      <c r="C85" s="98">
        <v>2.8233333333333328</v>
      </c>
      <c r="D85" s="99" t="s">
        <v>71</v>
      </c>
      <c r="E85" s="111"/>
      <c r="F85" s="101"/>
      <c r="G85" s="101" t="s">
        <v>132</v>
      </c>
      <c r="H85" s="97">
        <v>2014</v>
      </c>
      <c r="I85" s="102"/>
      <c r="J85" s="112"/>
      <c r="K85" s="104"/>
      <c r="L85" s="97"/>
      <c r="M85" s="97"/>
      <c r="N85" s="97"/>
      <c r="O85" s="112"/>
    </row>
    <row r="86" spans="2:15" x14ac:dyDescent="0.2">
      <c r="B86" s="97" t="s">
        <v>73</v>
      </c>
      <c r="C86" s="98">
        <v>2.8233333333333328</v>
      </c>
      <c r="D86" s="99" t="s">
        <v>71</v>
      </c>
      <c r="E86" s="111"/>
      <c r="F86" s="101"/>
      <c r="G86" s="101" t="s">
        <v>133</v>
      </c>
      <c r="H86" s="97">
        <v>2014</v>
      </c>
      <c r="I86" s="102"/>
      <c r="J86" s="112"/>
      <c r="K86" s="104"/>
      <c r="L86" s="97"/>
      <c r="M86" s="97"/>
      <c r="N86" s="97"/>
      <c r="O86" s="112"/>
    </row>
    <row r="87" spans="2:15" x14ac:dyDescent="0.2">
      <c r="B87" s="97" t="s">
        <v>73</v>
      </c>
      <c r="C87" s="98">
        <v>2.8233333333333328</v>
      </c>
      <c r="D87" s="99" t="s">
        <v>210</v>
      </c>
      <c r="E87" s="111"/>
      <c r="F87" s="101"/>
      <c r="G87" s="101" t="s">
        <v>131</v>
      </c>
      <c r="H87" s="97">
        <v>2014</v>
      </c>
      <c r="I87" s="102"/>
      <c r="J87" s="112"/>
      <c r="K87" s="104">
        <v>44525</v>
      </c>
      <c r="L87" s="97" t="s">
        <v>77</v>
      </c>
      <c r="M87" s="97" t="s">
        <v>78</v>
      </c>
      <c r="N87" s="97" t="s">
        <v>79</v>
      </c>
      <c r="O87" s="112"/>
    </row>
    <row r="88" spans="2:15" x14ac:dyDescent="0.2">
      <c r="B88" s="97" t="s">
        <v>73</v>
      </c>
      <c r="C88" s="98">
        <v>2.8233333333333328</v>
      </c>
      <c r="D88" s="99" t="s">
        <v>210</v>
      </c>
      <c r="E88" s="111"/>
      <c r="F88" s="101"/>
      <c r="G88" s="101" t="s">
        <v>132</v>
      </c>
      <c r="H88" s="97">
        <v>2014</v>
      </c>
      <c r="I88" s="102"/>
      <c r="J88" s="112"/>
      <c r="K88" s="104"/>
      <c r="L88" s="97"/>
      <c r="M88" s="97"/>
      <c r="N88" s="97"/>
      <c r="O88" s="112"/>
    </row>
    <row r="89" spans="2:15" x14ac:dyDescent="0.2">
      <c r="B89" s="97" t="s">
        <v>73</v>
      </c>
      <c r="C89" s="98">
        <v>2.8233333333333328</v>
      </c>
      <c r="D89" s="99" t="s">
        <v>210</v>
      </c>
      <c r="E89" s="111"/>
      <c r="F89" s="101"/>
      <c r="G89" s="101" t="s">
        <v>133</v>
      </c>
      <c r="H89" s="97">
        <v>2014</v>
      </c>
      <c r="I89" s="102"/>
      <c r="J89" s="112"/>
      <c r="K89" s="104"/>
      <c r="L89" s="97"/>
      <c r="M89" s="97"/>
      <c r="N89" s="97"/>
      <c r="O89" s="112"/>
    </row>
    <row r="90" spans="2:15" x14ac:dyDescent="0.2">
      <c r="B90" s="97" t="s">
        <v>73</v>
      </c>
      <c r="C90" s="98">
        <v>2.8233333333333328</v>
      </c>
      <c r="D90" s="99" t="s">
        <v>211</v>
      </c>
      <c r="E90" s="111"/>
      <c r="F90" s="101"/>
      <c r="G90" s="101" t="s">
        <v>131</v>
      </c>
      <c r="H90" s="97">
        <v>2014</v>
      </c>
      <c r="I90" s="102"/>
      <c r="J90" s="112"/>
      <c r="K90" s="104">
        <v>44537</v>
      </c>
      <c r="L90" s="97" t="s">
        <v>77</v>
      </c>
      <c r="M90" s="97" t="s">
        <v>78</v>
      </c>
      <c r="N90" s="97" t="s">
        <v>138</v>
      </c>
      <c r="O90" s="112"/>
    </row>
    <row r="91" spans="2:15" x14ac:dyDescent="0.2">
      <c r="B91" s="97" t="s">
        <v>73</v>
      </c>
      <c r="C91" s="98">
        <v>2.8233333333333328</v>
      </c>
      <c r="D91" s="99" t="s">
        <v>211</v>
      </c>
      <c r="E91" s="111"/>
      <c r="F91" s="101"/>
      <c r="G91" s="101" t="s">
        <v>132</v>
      </c>
      <c r="H91" s="97">
        <v>2014</v>
      </c>
      <c r="I91" s="102"/>
      <c r="J91" s="112"/>
      <c r="K91" s="104"/>
      <c r="L91" s="97"/>
      <c r="M91" s="97"/>
      <c r="N91" s="97"/>
      <c r="O91" s="112"/>
    </row>
    <row r="92" spans="2:15" x14ac:dyDescent="0.2">
      <c r="B92" s="97" t="s">
        <v>73</v>
      </c>
      <c r="C92" s="98">
        <v>2.8233333333333328</v>
      </c>
      <c r="D92" s="99" t="s">
        <v>211</v>
      </c>
      <c r="E92" s="111"/>
      <c r="F92" s="101"/>
      <c r="G92" s="101" t="s">
        <v>133</v>
      </c>
      <c r="H92" s="97">
        <v>2014</v>
      </c>
      <c r="I92" s="102"/>
      <c r="J92" s="112"/>
      <c r="K92" s="104"/>
      <c r="L92" s="97"/>
      <c r="M92" s="97"/>
      <c r="N92" s="97"/>
      <c r="O92" s="112"/>
    </row>
    <row r="93" spans="2:15" x14ac:dyDescent="0.2">
      <c r="B93" s="220" t="s">
        <v>224</v>
      </c>
      <c r="C93" s="221"/>
      <c r="D93" s="221"/>
      <c r="E93" s="221"/>
      <c r="F93" s="221"/>
      <c r="G93" s="221"/>
      <c r="H93" s="221"/>
      <c r="I93" s="221"/>
      <c r="J93" s="222"/>
      <c r="K93" s="104"/>
      <c r="L93" s="97"/>
      <c r="M93" s="97"/>
      <c r="N93" s="97"/>
      <c r="O93" s="112"/>
    </row>
    <row r="94" spans="2:15" x14ac:dyDescent="0.2">
      <c r="B94" s="97" t="s">
        <v>73</v>
      </c>
      <c r="C94" s="98">
        <v>2.8233333333333328</v>
      </c>
      <c r="D94" s="99" t="s">
        <v>71</v>
      </c>
      <c r="E94" s="111"/>
      <c r="F94" s="101"/>
      <c r="G94" s="101" t="s">
        <v>131</v>
      </c>
      <c r="H94" s="97">
        <v>2015</v>
      </c>
      <c r="I94" s="102"/>
      <c r="J94" s="112"/>
      <c r="K94" s="104">
        <v>44549</v>
      </c>
      <c r="L94" s="97" t="s">
        <v>77</v>
      </c>
      <c r="M94" s="97" t="s">
        <v>78</v>
      </c>
      <c r="N94" s="97" t="s">
        <v>79</v>
      </c>
      <c r="O94" s="112"/>
    </row>
    <row r="95" spans="2:15" x14ac:dyDescent="0.2">
      <c r="B95" s="97" t="s">
        <v>73</v>
      </c>
      <c r="C95" s="98">
        <v>2.8233333333333328</v>
      </c>
      <c r="D95" s="99" t="s">
        <v>71</v>
      </c>
      <c r="E95" s="111"/>
      <c r="F95" s="101"/>
      <c r="G95" s="101" t="s">
        <v>132</v>
      </c>
      <c r="H95" s="97">
        <v>2015</v>
      </c>
      <c r="I95" s="102"/>
      <c r="J95" s="112"/>
      <c r="K95" s="104"/>
      <c r="L95" s="97"/>
      <c r="M95" s="97"/>
      <c r="N95" s="97"/>
      <c r="O95" s="112"/>
    </row>
    <row r="96" spans="2:15" x14ac:dyDescent="0.2">
      <c r="B96" s="97" t="s">
        <v>73</v>
      </c>
      <c r="C96" s="98">
        <v>2.8233333333333328</v>
      </c>
      <c r="D96" s="99" t="s">
        <v>71</v>
      </c>
      <c r="E96" s="111"/>
      <c r="F96" s="101"/>
      <c r="G96" s="101" t="s">
        <v>133</v>
      </c>
      <c r="H96" s="97">
        <v>2015</v>
      </c>
      <c r="I96" s="102"/>
      <c r="J96" s="112"/>
      <c r="K96" s="104"/>
      <c r="L96" s="97"/>
      <c r="M96" s="97"/>
      <c r="N96" s="97"/>
      <c r="O96" s="112"/>
    </row>
    <row r="97" spans="2:15" x14ac:dyDescent="0.2">
      <c r="B97" s="97" t="s">
        <v>73</v>
      </c>
      <c r="C97" s="98">
        <v>2.8233333333333328</v>
      </c>
      <c r="D97" s="99" t="s">
        <v>210</v>
      </c>
      <c r="E97" s="111"/>
      <c r="F97" s="101"/>
      <c r="G97" s="101" t="s">
        <v>131</v>
      </c>
      <c r="H97" s="97">
        <v>2015</v>
      </c>
      <c r="I97" s="102"/>
      <c r="J97" s="112"/>
      <c r="K97" s="104">
        <v>44561</v>
      </c>
      <c r="L97" s="97" t="s">
        <v>77</v>
      </c>
      <c r="M97" s="97" t="s">
        <v>78</v>
      </c>
      <c r="N97" s="97" t="s">
        <v>138</v>
      </c>
      <c r="O97" s="112"/>
    </row>
    <row r="98" spans="2:15" x14ac:dyDescent="0.2">
      <c r="B98" s="97" t="s">
        <v>73</v>
      </c>
      <c r="C98" s="98">
        <v>2.8233333333333328</v>
      </c>
      <c r="D98" s="99" t="s">
        <v>210</v>
      </c>
      <c r="E98" s="111"/>
      <c r="F98" s="101"/>
      <c r="G98" s="101" t="s">
        <v>132</v>
      </c>
      <c r="H98" s="97">
        <v>2015</v>
      </c>
      <c r="I98" s="102"/>
      <c r="J98" s="112"/>
      <c r="K98" s="104"/>
      <c r="L98" s="97"/>
      <c r="M98" s="97"/>
      <c r="N98" s="97"/>
      <c r="O98" s="112"/>
    </row>
    <row r="99" spans="2:15" x14ac:dyDescent="0.2">
      <c r="B99" s="97" t="s">
        <v>73</v>
      </c>
      <c r="C99" s="98">
        <v>2.8233333333333328</v>
      </c>
      <c r="D99" s="99" t="s">
        <v>210</v>
      </c>
      <c r="E99" s="111"/>
      <c r="F99" s="101"/>
      <c r="G99" s="101" t="s">
        <v>133</v>
      </c>
      <c r="H99" s="97">
        <v>2015</v>
      </c>
      <c r="I99" s="102"/>
      <c r="J99" s="112"/>
      <c r="K99" s="104"/>
      <c r="L99" s="97"/>
      <c r="M99" s="97"/>
      <c r="N99" s="97"/>
      <c r="O99" s="112"/>
    </row>
    <row r="100" spans="2:15" x14ac:dyDescent="0.2">
      <c r="B100" s="97" t="s">
        <v>73</v>
      </c>
      <c r="C100" s="98">
        <v>2.8233333333333328</v>
      </c>
      <c r="D100" s="99" t="s">
        <v>214</v>
      </c>
      <c r="E100" s="111"/>
      <c r="F100" s="101"/>
      <c r="G100" s="101" t="s">
        <v>131</v>
      </c>
      <c r="H100" s="97">
        <v>2015</v>
      </c>
      <c r="I100" s="102"/>
      <c r="J100" s="112"/>
      <c r="K100" s="104">
        <v>44573</v>
      </c>
      <c r="L100" s="97" t="s">
        <v>77</v>
      </c>
      <c r="M100" s="97" t="s">
        <v>78</v>
      </c>
      <c r="N100" s="97" t="s">
        <v>79</v>
      </c>
      <c r="O100" s="112"/>
    </row>
    <row r="101" spans="2:15" x14ac:dyDescent="0.2">
      <c r="B101" s="97" t="s">
        <v>73</v>
      </c>
      <c r="C101" s="98">
        <v>2.8233333333333328</v>
      </c>
      <c r="D101" s="99" t="s">
        <v>214</v>
      </c>
      <c r="E101" s="111"/>
      <c r="F101" s="101"/>
      <c r="G101" s="101" t="s">
        <v>132</v>
      </c>
      <c r="H101" s="97">
        <v>2015</v>
      </c>
      <c r="I101" s="102"/>
      <c r="J101" s="112"/>
      <c r="K101" s="104"/>
      <c r="L101" s="97"/>
      <c r="M101" s="97"/>
      <c r="N101" s="97"/>
      <c r="O101" s="112"/>
    </row>
    <row r="102" spans="2:15" x14ac:dyDescent="0.2">
      <c r="B102" s="97" t="s">
        <v>73</v>
      </c>
      <c r="C102" s="98">
        <v>2.8233333333333328</v>
      </c>
      <c r="D102" s="99" t="s">
        <v>214</v>
      </c>
      <c r="E102" s="111"/>
      <c r="F102" s="101"/>
      <c r="G102" s="101" t="s">
        <v>133</v>
      </c>
      <c r="H102" s="97">
        <v>2015</v>
      </c>
      <c r="I102" s="102"/>
      <c r="J102" s="112"/>
      <c r="K102" s="104"/>
      <c r="L102" s="97"/>
      <c r="M102" s="97"/>
      <c r="N102" s="97"/>
      <c r="O102" s="112"/>
    </row>
    <row r="103" spans="2:15" x14ac:dyDescent="0.2">
      <c r="B103" s="97" t="s">
        <v>73</v>
      </c>
      <c r="C103" s="98">
        <v>2.8233333333333328</v>
      </c>
      <c r="D103" s="99" t="s">
        <v>211</v>
      </c>
      <c r="E103" s="111"/>
      <c r="F103" s="101"/>
      <c r="G103" s="101" t="s">
        <v>131</v>
      </c>
      <c r="H103" s="97">
        <v>2015</v>
      </c>
      <c r="I103" s="102"/>
      <c r="J103" s="112"/>
      <c r="K103" s="104">
        <v>44585</v>
      </c>
      <c r="L103" s="97" t="s">
        <v>77</v>
      </c>
      <c r="M103" s="97" t="s">
        <v>78</v>
      </c>
      <c r="N103" s="97" t="s">
        <v>138</v>
      </c>
      <c r="O103" s="112"/>
    </row>
    <row r="104" spans="2:15" x14ac:dyDescent="0.2">
      <c r="B104" s="97" t="s">
        <v>73</v>
      </c>
      <c r="C104" s="98">
        <v>2.8233333333333328</v>
      </c>
      <c r="D104" s="99" t="s">
        <v>211</v>
      </c>
      <c r="E104" s="111"/>
      <c r="F104" s="101"/>
      <c r="G104" s="101" t="s">
        <v>132</v>
      </c>
      <c r="H104" s="97">
        <v>2015</v>
      </c>
      <c r="I104" s="102"/>
      <c r="J104" s="112"/>
      <c r="K104" s="104"/>
      <c r="L104" s="97"/>
      <c r="M104" s="97"/>
      <c r="N104" s="97"/>
      <c r="O104" s="112"/>
    </row>
    <row r="105" spans="2:15" x14ac:dyDescent="0.2">
      <c r="B105" s="97" t="s">
        <v>73</v>
      </c>
      <c r="C105" s="98">
        <v>2.8233333333333328</v>
      </c>
      <c r="D105" s="99" t="s">
        <v>211</v>
      </c>
      <c r="E105" s="111"/>
      <c r="F105" s="101"/>
      <c r="G105" s="101" t="s">
        <v>133</v>
      </c>
      <c r="H105" s="97">
        <v>2015</v>
      </c>
      <c r="I105" s="102"/>
      <c r="J105" s="112"/>
      <c r="K105" s="104"/>
      <c r="L105" s="97"/>
      <c r="M105" s="97"/>
      <c r="N105" s="97"/>
      <c r="O105" s="112"/>
    </row>
    <row r="106" spans="2:15" x14ac:dyDescent="0.2">
      <c r="B106" s="220" t="s">
        <v>224</v>
      </c>
      <c r="C106" s="221"/>
      <c r="D106" s="221"/>
      <c r="E106" s="221"/>
      <c r="F106" s="221"/>
      <c r="G106" s="221"/>
      <c r="H106" s="221"/>
      <c r="I106" s="221"/>
      <c r="J106" s="222"/>
      <c r="K106" s="104"/>
      <c r="L106" s="97"/>
      <c r="M106" s="97"/>
      <c r="N106" s="97"/>
      <c r="O106" s="112"/>
    </row>
    <row r="107" spans="2:15" x14ac:dyDescent="0.2">
      <c r="B107" s="97" t="s">
        <v>73</v>
      </c>
      <c r="C107" s="98">
        <v>2.8233333333333328</v>
      </c>
      <c r="D107" s="99" t="s">
        <v>72</v>
      </c>
      <c r="E107" s="111"/>
      <c r="F107" s="101"/>
      <c r="G107" s="101" t="s">
        <v>131</v>
      </c>
      <c r="H107" s="97">
        <v>2016</v>
      </c>
      <c r="I107" s="102"/>
      <c r="J107" s="112"/>
      <c r="K107" s="104">
        <v>44597</v>
      </c>
      <c r="L107" s="97" t="s">
        <v>77</v>
      </c>
      <c r="M107" s="97" t="s">
        <v>78</v>
      </c>
      <c r="N107" s="97" t="s">
        <v>79</v>
      </c>
      <c r="O107" s="112"/>
    </row>
    <row r="108" spans="2:15" x14ac:dyDescent="0.2">
      <c r="B108" s="97" t="s">
        <v>73</v>
      </c>
      <c r="C108" s="98">
        <v>2.8233333333333328</v>
      </c>
      <c r="D108" s="99" t="s">
        <v>72</v>
      </c>
      <c r="E108" s="111"/>
      <c r="F108" s="101"/>
      <c r="G108" s="101" t="s">
        <v>132</v>
      </c>
      <c r="H108" s="97">
        <v>2016</v>
      </c>
      <c r="I108" s="102"/>
      <c r="J108" s="112"/>
      <c r="K108" s="104"/>
      <c r="L108" s="97"/>
      <c r="M108" s="97"/>
      <c r="N108" s="97"/>
      <c r="O108" s="112"/>
    </row>
    <row r="109" spans="2:15" x14ac:dyDescent="0.2">
      <c r="B109" s="97" t="s">
        <v>73</v>
      </c>
      <c r="C109" s="98">
        <v>2.8233333333333328</v>
      </c>
      <c r="D109" s="99" t="s">
        <v>72</v>
      </c>
      <c r="E109" s="111"/>
      <c r="F109" s="101"/>
      <c r="G109" s="101" t="s">
        <v>133</v>
      </c>
      <c r="H109" s="97">
        <v>2016</v>
      </c>
      <c r="I109" s="102"/>
      <c r="J109" s="112"/>
      <c r="K109" s="104"/>
      <c r="L109" s="97"/>
      <c r="M109" s="97"/>
      <c r="N109" s="97"/>
      <c r="O109" s="112"/>
    </row>
    <row r="110" spans="2:15" x14ac:dyDescent="0.2">
      <c r="B110" s="97" t="s">
        <v>73</v>
      </c>
      <c r="C110" s="98">
        <v>2.8233333333333328</v>
      </c>
      <c r="D110" s="99" t="s">
        <v>71</v>
      </c>
      <c r="E110" s="111"/>
      <c r="F110" s="101"/>
      <c r="G110" s="101" t="s">
        <v>131</v>
      </c>
      <c r="H110" s="97">
        <v>2016</v>
      </c>
      <c r="I110" s="102"/>
      <c r="J110" s="112"/>
      <c r="K110" s="104">
        <v>44609</v>
      </c>
      <c r="L110" s="97" t="s">
        <v>77</v>
      </c>
      <c r="M110" s="97" t="s">
        <v>78</v>
      </c>
      <c r="N110" s="97" t="s">
        <v>138</v>
      </c>
      <c r="O110" s="112"/>
    </row>
    <row r="111" spans="2:15" x14ac:dyDescent="0.2">
      <c r="B111" s="97" t="s">
        <v>73</v>
      </c>
      <c r="C111" s="98">
        <v>2.8233333333333328</v>
      </c>
      <c r="D111" s="99" t="s">
        <v>71</v>
      </c>
      <c r="E111" s="111"/>
      <c r="F111" s="101"/>
      <c r="G111" s="101" t="s">
        <v>132</v>
      </c>
      <c r="H111" s="97">
        <v>2016</v>
      </c>
      <c r="I111" s="102"/>
      <c r="J111" s="112"/>
      <c r="K111" s="104"/>
      <c r="L111" s="97"/>
      <c r="M111" s="97"/>
      <c r="N111" s="97"/>
      <c r="O111" s="112"/>
    </row>
    <row r="112" spans="2:15" x14ac:dyDescent="0.2">
      <c r="B112" s="97" t="s">
        <v>73</v>
      </c>
      <c r="C112" s="98">
        <v>2.8233333333333328</v>
      </c>
      <c r="D112" s="99" t="s">
        <v>71</v>
      </c>
      <c r="E112" s="111"/>
      <c r="F112" s="101"/>
      <c r="G112" s="101" t="s">
        <v>133</v>
      </c>
      <c r="H112" s="97">
        <v>2016</v>
      </c>
      <c r="I112" s="102"/>
      <c r="J112" s="112"/>
      <c r="K112" s="104"/>
      <c r="L112" s="97"/>
      <c r="M112" s="97"/>
      <c r="N112" s="97"/>
      <c r="O112" s="112"/>
    </row>
    <row r="113" spans="2:15" x14ac:dyDescent="0.2">
      <c r="B113" s="97" t="s">
        <v>73</v>
      </c>
      <c r="C113" s="98">
        <v>2.8233333333333328</v>
      </c>
      <c r="D113" s="99" t="s">
        <v>210</v>
      </c>
      <c r="E113" s="111"/>
      <c r="F113" s="101"/>
      <c r="G113" s="101" t="s">
        <v>131</v>
      </c>
      <c r="H113" s="97">
        <v>2016</v>
      </c>
      <c r="I113" s="102"/>
      <c r="J113" s="112"/>
      <c r="K113" s="104">
        <v>44621</v>
      </c>
      <c r="L113" s="97" t="s">
        <v>77</v>
      </c>
      <c r="M113" s="97" t="s">
        <v>78</v>
      </c>
      <c r="N113" s="97" t="s">
        <v>79</v>
      </c>
      <c r="O113" s="112"/>
    </row>
    <row r="114" spans="2:15" x14ac:dyDescent="0.2">
      <c r="B114" s="97" t="s">
        <v>73</v>
      </c>
      <c r="C114" s="98">
        <v>2.8233333333333328</v>
      </c>
      <c r="D114" s="99" t="s">
        <v>210</v>
      </c>
      <c r="E114" s="111"/>
      <c r="F114" s="101"/>
      <c r="G114" s="101" t="s">
        <v>132</v>
      </c>
      <c r="H114" s="97">
        <v>2016</v>
      </c>
      <c r="I114" s="102"/>
      <c r="J114" s="112"/>
      <c r="K114" s="104"/>
      <c r="L114" s="97"/>
      <c r="M114" s="97"/>
      <c r="N114" s="97"/>
      <c r="O114" s="112"/>
    </row>
    <row r="115" spans="2:15" x14ac:dyDescent="0.2">
      <c r="B115" s="97" t="s">
        <v>73</v>
      </c>
      <c r="C115" s="98">
        <v>2.8233333333333328</v>
      </c>
      <c r="D115" s="99" t="s">
        <v>210</v>
      </c>
      <c r="E115" s="111"/>
      <c r="F115" s="101"/>
      <c r="G115" s="101" t="s">
        <v>133</v>
      </c>
      <c r="H115" s="97">
        <v>2016</v>
      </c>
      <c r="I115" s="102"/>
      <c r="J115" s="112"/>
      <c r="K115" s="104"/>
      <c r="L115" s="97"/>
      <c r="M115" s="97"/>
      <c r="N115" s="97"/>
      <c r="O115" s="112"/>
    </row>
    <row r="116" spans="2:15" x14ac:dyDescent="0.2">
      <c r="B116" s="97" t="s">
        <v>73</v>
      </c>
      <c r="C116" s="98">
        <v>2.8233333333333328</v>
      </c>
      <c r="D116" s="99" t="s">
        <v>214</v>
      </c>
      <c r="E116" s="111"/>
      <c r="F116" s="101"/>
      <c r="G116" s="101" t="s">
        <v>131</v>
      </c>
      <c r="H116" s="97">
        <v>2016</v>
      </c>
      <c r="I116" s="102"/>
      <c r="J116" s="112"/>
      <c r="K116" s="104">
        <v>44633</v>
      </c>
      <c r="L116" s="97" t="s">
        <v>77</v>
      </c>
      <c r="M116" s="97" t="s">
        <v>78</v>
      </c>
      <c r="N116" s="97" t="s">
        <v>138</v>
      </c>
      <c r="O116" s="112"/>
    </row>
    <row r="117" spans="2:15" x14ac:dyDescent="0.2">
      <c r="B117" s="97" t="s">
        <v>73</v>
      </c>
      <c r="C117" s="98">
        <v>2.8233333333333328</v>
      </c>
      <c r="D117" s="99" t="s">
        <v>214</v>
      </c>
      <c r="E117" s="111"/>
      <c r="F117" s="101"/>
      <c r="G117" s="101" t="s">
        <v>132</v>
      </c>
      <c r="H117" s="97">
        <v>2016</v>
      </c>
      <c r="I117" s="102"/>
      <c r="J117" s="112"/>
      <c r="K117" s="104"/>
      <c r="L117" s="97"/>
      <c r="M117" s="97"/>
      <c r="N117" s="97"/>
      <c r="O117" s="112"/>
    </row>
    <row r="118" spans="2:15" x14ac:dyDescent="0.2">
      <c r="B118" s="97" t="s">
        <v>73</v>
      </c>
      <c r="C118" s="98">
        <v>2.8233333333333328</v>
      </c>
      <c r="D118" s="99" t="s">
        <v>214</v>
      </c>
      <c r="E118" s="111"/>
      <c r="F118" s="101"/>
      <c r="G118" s="101" t="s">
        <v>133</v>
      </c>
      <c r="H118" s="97">
        <v>2016</v>
      </c>
      <c r="I118" s="102"/>
      <c r="J118" s="112"/>
      <c r="K118" s="104"/>
      <c r="L118" s="97"/>
      <c r="M118" s="97"/>
      <c r="N118" s="97"/>
      <c r="O118" s="112"/>
    </row>
    <row r="119" spans="2:15" x14ac:dyDescent="0.2">
      <c r="B119" s="97" t="s">
        <v>73</v>
      </c>
      <c r="C119" s="98">
        <v>2.8233333333333328</v>
      </c>
      <c r="D119" s="99" t="s">
        <v>211</v>
      </c>
      <c r="E119" s="111"/>
      <c r="F119" s="101"/>
      <c r="G119" s="101" t="s">
        <v>131</v>
      </c>
      <c r="H119" s="97">
        <v>2016</v>
      </c>
      <c r="I119" s="102"/>
      <c r="J119" s="112"/>
      <c r="K119" s="104">
        <v>44645</v>
      </c>
      <c r="L119" s="97" t="s">
        <v>77</v>
      </c>
      <c r="M119" s="97" t="s">
        <v>78</v>
      </c>
      <c r="N119" s="97" t="s">
        <v>79</v>
      </c>
      <c r="O119" s="112"/>
    </row>
    <row r="120" spans="2:15" x14ac:dyDescent="0.2">
      <c r="B120" s="97" t="s">
        <v>73</v>
      </c>
      <c r="C120" s="98">
        <v>2.8233333333333328</v>
      </c>
      <c r="D120" s="99" t="s">
        <v>211</v>
      </c>
      <c r="E120" s="111"/>
      <c r="F120" s="101"/>
      <c r="G120" s="101" t="s">
        <v>132</v>
      </c>
      <c r="H120" s="97">
        <v>2016</v>
      </c>
      <c r="I120" s="102"/>
      <c r="J120" s="112"/>
      <c r="K120" s="104"/>
      <c r="L120" s="97"/>
      <c r="M120" s="97"/>
      <c r="N120" s="97"/>
      <c r="O120" s="112"/>
    </row>
    <row r="121" spans="2:15" x14ac:dyDescent="0.2">
      <c r="B121" s="97" t="s">
        <v>73</v>
      </c>
      <c r="C121" s="98">
        <v>2.8233333333333328</v>
      </c>
      <c r="D121" s="99" t="s">
        <v>211</v>
      </c>
      <c r="E121" s="111"/>
      <c r="F121" s="101"/>
      <c r="G121" s="101" t="s">
        <v>133</v>
      </c>
      <c r="H121" s="97">
        <v>2016</v>
      </c>
      <c r="I121" s="102"/>
      <c r="J121" s="112"/>
      <c r="K121" s="104"/>
      <c r="L121" s="97"/>
      <c r="M121" s="97"/>
      <c r="N121" s="97"/>
      <c r="O121" s="112"/>
    </row>
    <row r="122" spans="2:15" x14ac:dyDescent="0.2">
      <c r="B122" s="220" t="s">
        <v>224</v>
      </c>
      <c r="C122" s="221"/>
      <c r="D122" s="221"/>
      <c r="E122" s="221"/>
      <c r="F122" s="221"/>
      <c r="G122" s="221"/>
      <c r="H122" s="221"/>
      <c r="I122" s="221"/>
      <c r="J122" s="222"/>
      <c r="K122" s="104"/>
      <c r="L122" s="97"/>
      <c r="M122" s="97"/>
      <c r="N122" s="97"/>
      <c r="O122" s="112"/>
    </row>
    <row r="123" spans="2:15" x14ac:dyDescent="0.2">
      <c r="B123" s="97" t="s">
        <v>73</v>
      </c>
      <c r="C123" s="98">
        <v>2.8233333333333328</v>
      </c>
      <c r="D123" s="99" t="s">
        <v>72</v>
      </c>
      <c r="E123" s="111"/>
      <c r="F123" s="101"/>
      <c r="G123" s="101" t="s">
        <v>131</v>
      </c>
      <c r="H123" s="97">
        <v>2017</v>
      </c>
      <c r="I123" s="102"/>
      <c r="J123" s="112"/>
      <c r="K123" s="104">
        <v>44657</v>
      </c>
      <c r="L123" s="97" t="s">
        <v>77</v>
      </c>
      <c r="M123" s="97" t="s">
        <v>78</v>
      </c>
      <c r="N123" s="97" t="s">
        <v>138</v>
      </c>
      <c r="O123" s="112"/>
    </row>
    <row r="124" spans="2:15" x14ac:dyDescent="0.2">
      <c r="B124" s="97" t="s">
        <v>73</v>
      </c>
      <c r="C124" s="98">
        <v>2.8233333333333328</v>
      </c>
      <c r="D124" s="99" t="s">
        <v>72</v>
      </c>
      <c r="E124" s="111"/>
      <c r="F124" s="101"/>
      <c r="G124" s="101" t="s">
        <v>132</v>
      </c>
      <c r="H124" s="97">
        <v>2017</v>
      </c>
      <c r="I124" s="102"/>
      <c r="J124" s="112"/>
      <c r="K124" s="104"/>
      <c r="L124" s="97"/>
      <c r="M124" s="97"/>
      <c r="N124" s="97"/>
      <c r="O124" s="112"/>
    </row>
    <row r="125" spans="2:15" x14ac:dyDescent="0.2">
      <c r="B125" s="97" t="s">
        <v>73</v>
      </c>
      <c r="C125" s="98">
        <v>2.8233333333333328</v>
      </c>
      <c r="D125" s="99" t="s">
        <v>72</v>
      </c>
      <c r="E125" s="111"/>
      <c r="F125" s="101"/>
      <c r="G125" s="101" t="s">
        <v>133</v>
      </c>
      <c r="H125" s="97">
        <v>2017</v>
      </c>
      <c r="I125" s="102"/>
      <c r="J125" s="112"/>
      <c r="K125" s="104"/>
      <c r="L125" s="97"/>
      <c r="M125" s="97"/>
      <c r="N125" s="97"/>
      <c r="O125" s="112"/>
    </row>
    <row r="126" spans="2:15" x14ac:dyDescent="0.2">
      <c r="B126" s="97" t="s">
        <v>73</v>
      </c>
      <c r="C126" s="98">
        <v>2.8233333333333328</v>
      </c>
      <c r="D126" s="99" t="s">
        <v>71</v>
      </c>
      <c r="E126" s="111"/>
      <c r="F126" s="101"/>
      <c r="G126" s="101" t="s">
        <v>131</v>
      </c>
      <c r="H126" s="97">
        <v>2017</v>
      </c>
      <c r="I126" s="102"/>
      <c r="J126" s="112"/>
      <c r="K126" s="104">
        <v>44669</v>
      </c>
      <c r="L126" s="97" t="s">
        <v>77</v>
      </c>
      <c r="M126" s="97" t="s">
        <v>78</v>
      </c>
      <c r="N126" s="97" t="s">
        <v>79</v>
      </c>
      <c r="O126" s="112"/>
    </row>
    <row r="127" spans="2:15" x14ac:dyDescent="0.2">
      <c r="B127" s="97" t="s">
        <v>73</v>
      </c>
      <c r="C127" s="98">
        <v>2.8233333333333328</v>
      </c>
      <c r="D127" s="99" t="s">
        <v>71</v>
      </c>
      <c r="E127" s="111"/>
      <c r="F127" s="101"/>
      <c r="G127" s="101" t="s">
        <v>132</v>
      </c>
      <c r="H127" s="97">
        <v>2017</v>
      </c>
      <c r="I127" s="102"/>
      <c r="J127" s="112"/>
      <c r="K127" s="104"/>
      <c r="L127" s="97"/>
      <c r="M127" s="97"/>
      <c r="N127" s="97"/>
      <c r="O127" s="112"/>
    </row>
    <row r="128" spans="2:15" x14ac:dyDescent="0.2">
      <c r="B128" s="97" t="s">
        <v>73</v>
      </c>
      <c r="C128" s="98">
        <v>2.8233333333333328</v>
      </c>
      <c r="D128" s="99" t="s">
        <v>71</v>
      </c>
      <c r="E128" s="111"/>
      <c r="F128" s="101"/>
      <c r="G128" s="101" t="s">
        <v>133</v>
      </c>
      <c r="H128" s="97">
        <v>2017</v>
      </c>
      <c r="I128" s="102"/>
      <c r="J128" s="112"/>
      <c r="K128" s="104"/>
      <c r="L128" s="97"/>
      <c r="M128" s="97"/>
      <c r="N128" s="97"/>
      <c r="O128" s="112"/>
    </row>
    <row r="129" spans="2:15" x14ac:dyDescent="0.2">
      <c r="B129" s="97" t="s">
        <v>73</v>
      </c>
      <c r="C129" s="98">
        <v>2.8233333333333328</v>
      </c>
      <c r="D129" s="99" t="s">
        <v>210</v>
      </c>
      <c r="E129" s="111"/>
      <c r="F129" s="101"/>
      <c r="G129" s="101" t="s">
        <v>131</v>
      </c>
      <c r="H129" s="97">
        <v>2017</v>
      </c>
      <c r="I129" s="102"/>
      <c r="J129" s="112"/>
      <c r="K129" s="104">
        <v>44681</v>
      </c>
      <c r="L129" s="97" t="s">
        <v>77</v>
      </c>
      <c r="M129" s="97" t="s">
        <v>78</v>
      </c>
      <c r="N129" s="97" t="s">
        <v>138</v>
      </c>
      <c r="O129" s="112"/>
    </row>
    <row r="130" spans="2:15" x14ac:dyDescent="0.2">
      <c r="B130" s="97" t="s">
        <v>73</v>
      </c>
      <c r="C130" s="98">
        <v>2.8233333333333328</v>
      </c>
      <c r="D130" s="99" t="s">
        <v>210</v>
      </c>
      <c r="E130" s="111"/>
      <c r="F130" s="101"/>
      <c r="G130" s="101" t="s">
        <v>132</v>
      </c>
      <c r="H130" s="97">
        <v>2017</v>
      </c>
      <c r="I130" s="102"/>
      <c r="J130" s="112"/>
      <c r="K130" s="104"/>
      <c r="L130" s="97"/>
      <c r="M130" s="97"/>
      <c r="N130" s="97"/>
      <c r="O130" s="112"/>
    </row>
    <row r="131" spans="2:15" x14ac:dyDescent="0.2">
      <c r="B131" s="97" t="s">
        <v>73</v>
      </c>
      <c r="C131" s="98">
        <v>2.8233333333333328</v>
      </c>
      <c r="D131" s="99" t="s">
        <v>210</v>
      </c>
      <c r="E131" s="111"/>
      <c r="F131" s="101"/>
      <c r="G131" s="101" t="s">
        <v>133</v>
      </c>
      <c r="H131" s="97">
        <v>2017</v>
      </c>
      <c r="I131" s="102"/>
      <c r="J131" s="112"/>
      <c r="K131" s="104"/>
      <c r="L131" s="97"/>
      <c r="M131" s="97"/>
      <c r="N131" s="97"/>
      <c r="O131" s="112"/>
    </row>
    <row r="132" spans="2:15" x14ac:dyDescent="0.2">
      <c r="B132" s="97" t="s">
        <v>73</v>
      </c>
      <c r="C132" s="98">
        <v>2.8233333333333328</v>
      </c>
      <c r="D132" s="99" t="s">
        <v>211</v>
      </c>
      <c r="E132" s="111"/>
      <c r="F132" s="101"/>
      <c r="G132" s="101" t="s">
        <v>131</v>
      </c>
      <c r="H132" s="97">
        <v>2017</v>
      </c>
      <c r="I132" s="102"/>
      <c r="J132" s="112"/>
      <c r="K132" s="104">
        <v>44693</v>
      </c>
      <c r="L132" s="97" t="s">
        <v>77</v>
      </c>
      <c r="M132" s="97" t="s">
        <v>78</v>
      </c>
      <c r="N132" s="97" t="s">
        <v>79</v>
      </c>
      <c r="O132" s="112"/>
    </row>
    <row r="133" spans="2:15" x14ac:dyDescent="0.2">
      <c r="B133" s="97" t="s">
        <v>73</v>
      </c>
      <c r="C133" s="98">
        <v>2.8233333333333328</v>
      </c>
      <c r="D133" s="99" t="s">
        <v>211</v>
      </c>
      <c r="E133" s="111"/>
      <c r="F133" s="101"/>
      <c r="G133" s="101" t="s">
        <v>132</v>
      </c>
      <c r="H133" s="97">
        <v>2017</v>
      </c>
      <c r="I133" s="102"/>
      <c r="J133" s="112"/>
      <c r="K133" s="104"/>
      <c r="L133" s="97"/>
      <c r="M133" s="97"/>
      <c r="N133" s="97"/>
      <c r="O133" s="112"/>
    </row>
    <row r="134" spans="2:15" x14ac:dyDescent="0.2">
      <c r="B134" s="97" t="s">
        <v>73</v>
      </c>
      <c r="C134" s="98">
        <v>2.8233333333333328</v>
      </c>
      <c r="D134" s="99" t="s">
        <v>211</v>
      </c>
      <c r="E134" s="111"/>
      <c r="F134" s="101"/>
      <c r="G134" s="101" t="s">
        <v>133</v>
      </c>
      <c r="H134" s="97">
        <v>2017</v>
      </c>
      <c r="I134" s="102"/>
      <c r="J134" s="112"/>
      <c r="K134" s="104"/>
      <c r="L134" s="97"/>
      <c r="M134" s="97"/>
      <c r="N134" s="97"/>
      <c r="O134" s="112"/>
    </row>
    <row r="135" spans="2:15" x14ac:dyDescent="0.2">
      <c r="B135" s="220" t="s">
        <v>224</v>
      </c>
      <c r="C135" s="221"/>
      <c r="D135" s="221"/>
      <c r="E135" s="221"/>
      <c r="F135" s="221"/>
      <c r="G135" s="221"/>
      <c r="H135" s="221"/>
      <c r="I135" s="221"/>
      <c r="J135" s="222"/>
      <c r="K135" s="104"/>
      <c r="L135" s="97"/>
      <c r="M135" s="97"/>
      <c r="N135" s="97"/>
      <c r="O135" s="112"/>
    </row>
    <row r="136" spans="2:15" x14ac:dyDescent="0.2">
      <c r="B136" s="97" t="s">
        <v>73</v>
      </c>
      <c r="C136" s="98">
        <v>2.8233333333333328</v>
      </c>
      <c r="D136" s="99" t="s">
        <v>71</v>
      </c>
      <c r="E136" s="111"/>
      <c r="F136" s="101"/>
      <c r="G136" s="101" t="s">
        <v>131</v>
      </c>
      <c r="H136" s="97">
        <v>2018</v>
      </c>
      <c r="I136" s="102"/>
      <c r="J136" s="112"/>
      <c r="K136" s="104">
        <v>44705</v>
      </c>
      <c r="L136" s="97" t="s">
        <v>77</v>
      </c>
      <c r="M136" s="97" t="s">
        <v>78</v>
      </c>
      <c r="N136" s="97" t="s">
        <v>138</v>
      </c>
      <c r="O136" s="112"/>
    </row>
    <row r="137" spans="2:15" x14ac:dyDescent="0.2">
      <c r="B137" s="97" t="s">
        <v>73</v>
      </c>
      <c r="C137" s="98">
        <v>2.8233333333333328</v>
      </c>
      <c r="D137" s="99" t="s">
        <v>71</v>
      </c>
      <c r="E137" s="111"/>
      <c r="F137" s="101"/>
      <c r="G137" s="101" t="s">
        <v>132</v>
      </c>
      <c r="H137" s="97">
        <v>2018</v>
      </c>
      <c r="I137" s="102"/>
      <c r="J137" s="112"/>
      <c r="K137" s="104"/>
      <c r="L137" s="97"/>
      <c r="M137" s="97"/>
      <c r="N137" s="97"/>
      <c r="O137" s="112"/>
    </row>
    <row r="138" spans="2:15" x14ac:dyDescent="0.2">
      <c r="B138" s="97" t="s">
        <v>73</v>
      </c>
      <c r="C138" s="98">
        <v>2.8233333333333328</v>
      </c>
      <c r="D138" s="99" t="s">
        <v>71</v>
      </c>
      <c r="E138" s="111"/>
      <c r="F138" s="101"/>
      <c r="G138" s="101" t="s">
        <v>133</v>
      </c>
      <c r="H138" s="97">
        <v>2018</v>
      </c>
      <c r="I138" s="102"/>
      <c r="J138" s="112"/>
      <c r="K138" s="104"/>
      <c r="L138" s="97"/>
      <c r="M138" s="97"/>
      <c r="N138" s="97"/>
      <c r="O138" s="112"/>
    </row>
    <row r="139" spans="2:15" x14ac:dyDescent="0.2">
      <c r="B139" s="97" t="s">
        <v>73</v>
      </c>
      <c r="C139" s="98">
        <v>2.8233333333333328</v>
      </c>
      <c r="D139" s="99" t="s">
        <v>211</v>
      </c>
      <c r="E139" s="111"/>
      <c r="F139" s="101"/>
      <c r="G139" s="101" t="s">
        <v>131</v>
      </c>
      <c r="H139" s="97">
        <v>2018</v>
      </c>
      <c r="I139" s="102"/>
      <c r="J139" s="112"/>
      <c r="K139" s="104">
        <v>44717</v>
      </c>
      <c r="L139" s="97" t="s">
        <v>77</v>
      </c>
      <c r="M139" s="97" t="s">
        <v>78</v>
      </c>
      <c r="N139" s="97" t="s">
        <v>79</v>
      </c>
      <c r="O139" s="112"/>
    </row>
    <row r="140" spans="2:15" x14ac:dyDescent="0.2">
      <c r="B140" s="97" t="s">
        <v>73</v>
      </c>
      <c r="C140" s="98">
        <v>2.8233333333333328</v>
      </c>
      <c r="D140" s="99" t="s">
        <v>211</v>
      </c>
      <c r="E140" s="111"/>
      <c r="F140" s="101"/>
      <c r="G140" s="101" t="s">
        <v>132</v>
      </c>
      <c r="H140" s="97">
        <v>2018</v>
      </c>
      <c r="I140" s="102"/>
      <c r="J140" s="112"/>
      <c r="K140" s="104"/>
      <c r="L140" s="97"/>
      <c r="M140" s="97"/>
      <c r="N140" s="97"/>
      <c r="O140" s="112"/>
    </row>
    <row r="141" spans="2:15" x14ac:dyDescent="0.2">
      <c r="B141" s="97" t="s">
        <v>73</v>
      </c>
      <c r="C141" s="98">
        <v>2.8233333333333328</v>
      </c>
      <c r="D141" s="99" t="s">
        <v>211</v>
      </c>
      <c r="E141" s="111"/>
      <c r="F141" s="101"/>
      <c r="G141" s="101" t="s">
        <v>133</v>
      </c>
      <c r="H141" s="97">
        <v>2018</v>
      </c>
      <c r="I141" s="102"/>
      <c r="J141" s="112"/>
      <c r="K141" s="104"/>
      <c r="L141" s="97"/>
      <c r="M141" s="97"/>
      <c r="N141" s="97"/>
      <c r="O141" s="112"/>
    </row>
    <row r="142" spans="2:15" x14ac:dyDescent="0.2">
      <c r="B142" s="220" t="s">
        <v>224</v>
      </c>
      <c r="C142" s="221"/>
      <c r="D142" s="221"/>
      <c r="E142" s="221"/>
      <c r="F142" s="221"/>
      <c r="G142" s="221"/>
      <c r="H142" s="221"/>
      <c r="I142" s="221"/>
      <c r="J142" s="222"/>
      <c r="K142" s="104">
        <v>44729</v>
      </c>
      <c r="L142" s="97" t="s">
        <v>77</v>
      </c>
      <c r="M142" s="97" t="s">
        <v>78</v>
      </c>
      <c r="N142" s="97" t="s">
        <v>138</v>
      </c>
      <c r="O142" s="112"/>
    </row>
    <row r="143" spans="2:15" x14ac:dyDescent="0.2">
      <c r="B143" s="97" t="s">
        <v>73</v>
      </c>
      <c r="C143" s="98">
        <v>2.8233333333333328</v>
      </c>
      <c r="D143" s="99"/>
      <c r="E143" s="111"/>
      <c r="F143" s="101"/>
      <c r="G143" s="99"/>
      <c r="H143" s="97"/>
      <c r="I143" s="102"/>
      <c r="J143" s="112"/>
      <c r="K143" s="104">
        <v>44741</v>
      </c>
      <c r="L143" s="97" t="s">
        <v>77</v>
      </c>
      <c r="M143" s="97" t="s">
        <v>78</v>
      </c>
      <c r="N143" s="97" t="s">
        <v>79</v>
      </c>
      <c r="O143" s="112"/>
    </row>
    <row r="144" spans="2:15" x14ac:dyDescent="0.2">
      <c r="B144" s="97" t="s">
        <v>73</v>
      </c>
      <c r="C144" s="98">
        <v>2.8233333333333328</v>
      </c>
      <c r="D144" s="99"/>
      <c r="E144" s="111"/>
      <c r="F144" s="101"/>
      <c r="G144" s="99"/>
      <c r="H144" s="97"/>
      <c r="I144" s="102"/>
      <c r="J144" s="112"/>
      <c r="K144" s="104">
        <v>44753</v>
      </c>
      <c r="L144" s="97" t="s">
        <v>77</v>
      </c>
      <c r="M144" s="97" t="s">
        <v>78</v>
      </c>
      <c r="N144" s="97" t="s">
        <v>138</v>
      </c>
      <c r="O144" s="112"/>
    </row>
    <row r="145" spans="2:15" x14ac:dyDescent="0.2">
      <c r="B145" s="97" t="s">
        <v>73</v>
      </c>
      <c r="C145" s="98">
        <v>2.8233333333333328</v>
      </c>
      <c r="D145" s="99"/>
      <c r="E145" s="111"/>
      <c r="F145" s="101"/>
      <c r="G145" s="99"/>
      <c r="H145" s="112"/>
      <c r="I145" s="102"/>
      <c r="J145" s="112"/>
      <c r="K145" s="104">
        <v>44765</v>
      </c>
      <c r="L145" s="97" t="s">
        <v>77</v>
      </c>
      <c r="M145" s="97" t="s">
        <v>78</v>
      </c>
      <c r="N145" s="97" t="s">
        <v>79</v>
      </c>
      <c r="O145" s="112"/>
    </row>
    <row r="146" spans="2:15" x14ac:dyDescent="0.2">
      <c r="B146" s="97" t="s">
        <v>73</v>
      </c>
      <c r="C146" s="98">
        <v>2.8233333333333328</v>
      </c>
      <c r="D146" s="99"/>
      <c r="E146" s="111"/>
      <c r="F146" s="101"/>
      <c r="G146" s="99"/>
      <c r="H146" s="112"/>
      <c r="I146" s="102"/>
      <c r="J146" s="112"/>
      <c r="K146" s="104">
        <v>44777</v>
      </c>
      <c r="L146" s="97" t="s">
        <v>77</v>
      </c>
      <c r="M146" s="97" t="s">
        <v>78</v>
      </c>
      <c r="N146" s="97" t="s">
        <v>138</v>
      </c>
      <c r="O146" s="112"/>
    </row>
    <row r="147" spans="2:15" ht="5.25" customHeight="1" x14ac:dyDescent="0.2">
      <c r="B147" s="113"/>
      <c r="C147" s="114"/>
      <c r="D147" s="114"/>
      <c r="E147" s="113"/>
      <c r="F147" s="115"/>
      <c r="G147" s="115"/>
      <c r="H147" s="115"/>
      <c r="I147" s="115"/>
      <c r="J147" s="115"/>
      <c r="K147" s="115"/>
      <c r="L147" s="115"/>
    </row>
    <row r="148" spans="2:15" ht="15" hidden="1" thickBot="1" x14ac:dyDescent="0.3">
      <c r="B148" s="116"/>
      <c r="C148" s="217" t="s">
        <v>119</v>
      </c>
      <c r="D148" s="218"/>
      <c r="E148" s="117" t="s">
        <v>160</v>
      </c>
      <c r="F148" s="118" t="s">
        <v>161</v>
      </c>
      <c r="G148" s="119" t="s">
        <v>162</v>
      </c>
      <c r="H148" s="119" t="s">
        <v>166</v>
      </c>
      <c r="I148" s="119" t="s">
        <v>258</v>
      </c>
      <c r="J148" s="119" t="s">
        <v>259</v>
      </c>
      <c r="K148" s="119" t="s">
        <v>163</v>
      </c>
      <c r="L148" s="120" t="s">
        <v>165</v>
      </c>
    </row>
    <row r="149" spans="2:15" ht="14.25" hidden="1" x14ac:dyDescent="0.25">
      <c r="B149" s="121" t="s">
        <v>136</v>
      </c>
      <c r="C149" s="122">
        <f>(C5-E5)*((Factores!$E$12*Factores!$L$4)+Factores!N4*Factores!$L$20+Factores!$P$4*Factores!$L$21)*Factores!$J$4*F5*Variables!$C$16</f>
        <v>4107.8575256159993</v>
      </c>
      <c r="D149" s="123" t="s">
        <v>260</v>
      </c>
      <c r="E149" s="124">
        <f>($C84-$E84)*$F$84*Variables!$C$16*Factores!$J$4*1000*Factores!U$4/1000000</f>
        <v>0</v>
      </c>
      <c r="F149" s="125">
        <f>($C$84-$E$84)*$F$84*Variables!$C$16*Factores!$J$4*1000*Factores!V$4/1000000</f>
        <v>0</v>
      </c>
      <c r="G149" s="125">
        <f>($C$84-$E$84)*$F$84*Variables!$C$16*Factores!$J$4*1000*Factores!W$4/1000000</f>
        <v>0</v>
      </c>
      <c r="H149" s="125">
        <f>($C$84-$E$84)*$F$84*Variables!$C$16*Factores!$J$4*1000*Factores!X$4/1000000</f>
        <v>0</v>
      </c>
      <c r="I149" s="125">
        <f>($C$84-$E$84)*$F$84*Variables!$C$16*Factores!$J$4*1000*Factores!Y$4/1000000</f>
        <v>0</v>
      </c>
      <c r="J149" s="125">
        <f>($C$84-$E$84)*$F$84*Variables!$C$16*Factores!$J$4*1000*Factores!Z$4/1000000</f>
        <v>0</v>
      </c>
      <c r="K149" s="125">
        <f>($C$84-$E$84)*$F$84*Variables!$C$16*Factores!$J$4*1000*Factores!AA$4/1000000</f>
        <v>0</v>
      </c>
      <c r="L149" s="126" t="s">
        <v>164</v>
      </c>
    </row>
    <row r="150" spans="2:15" ht="15" hidden="1" thickBot="1" x14ac:dyDescent="0.3">
      <c r="B150" s="127" t="s">
        <v>137</v>
      </c>
      <c r="C150" s="128">
        <f>(C87-E87)*((Factores!$E$12*Factores!$L$4)+Factores!N5*Factores!$L$20+Factores!$P$4*Factores!$L$21)*Factores!$J$4*F87*Variables!$C$16</f>
        <v>0</v>
      </c>
      <c r="D150" s="129" t="s">
        <v>260</v>
      </c>
      <c r="E150" s="130">
        <f>($C87-$E87)*$F$84*Variables!$C$16*Factores!$J$4*1000*Factores!U$4/1000000</f>
        <v>0</v>
      </c>
      <c r="F150" s="131">
        <f>($C87-$E87)*$F$84*Variables!$C$16*Factores!$J$4*1000*Factores!V$4/1000000</f>
        <v>0</v>
      </c>
      <c r="G150" s="131">
        <f>($C87-$E87)*$F$84*Variables!$C$16*Factores!$J$4*1000*Factores!W$4/1000000</f>
        <v>0</v>
      </c>
      <c r="H150" s="131">
        <f>($C87-$E87)*$F$84*Variables!$C$16*Factores!$J$4*1000*Factores!X$4/1000000</f>
        <v>0</v>
      </c>
      <c r="I150" s="131">
        <f>($C87-$E87)*$F$84*Variables!$C$16*Factores!$J$4*1000*Factores!Y$4/1000000</f>
        <v>0</v>
      </c>
      <c r="J150" s="131">
        <f>($C87-$E87)*$F$84*Variables!$C$16*Factores!$J$4*1000*Factores!Z$4/1000000</f>
        <v>0</v>
      </c>
      <c r="K150" s="131">
        <f>($C87-$E87)*$F$84*Variables!$C$16*Factores!$J$4*1000*Factores!AA$4/1000000</f>
        <v>0</v>
      </c>
      <c r="L150" s="132" t="s">
        <v>164</v>
      </c>
    </row>
    <row r="151" spans="2:15" ht="5.25" hidden="1" customHeight="1" x14ac:dyDescent="0.2">
      <c r="B151" s="113"/>
      <c r="C151" s="113"/>
      <c r="D151" s="113"/>
      <c r="E151" s="113"/>
      <c r="F151" s="115"/>
      <c r="G151" s="115"/>
      <c r="H151" s="115"/>
      <c r="I151" s="115"/>
      <c r="J151" s="115"/>
      <c r="K151" s="115"/>
      <c r="L151" s="115"/>
    </row>
    <row r="152" spans="2:15" hidden="1" x14ac:dyDescent="0.2"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</row>
    <row r="153" spans="2:15" ht="15" hidden="1" customHeight="1" x14ac:dyDescent="0.2">
      <c r="B153" s="115" t="s">
        <v>55</v>
      </c>
      <c r="C153" s="115"/>
      <c r="D153" s="115" t="s">
        <v>56</v>
      </c>
      <c r="E153" s="115"/>
    </row>
    <row r="154" spans="2:15" ht="30" hidden="1" customHeight="1" x14ac:dyDescent="0.2">
      <c r="B154" s="115" t="s">
        <v>57</v>
      </c>
      <c r="C154" s="115" t="s">
        <v>253</v>
      </c>
      <c r="D154" s="115" t="s">
        <v>57</v>
      </c>
      <c r="E154" s="115" t="s">
        <v>261</v>
      </c>
      <c r="F154" s="92" t="s">
        <v>58</v>
      </c>
      <c r="G154" s="92" t="s">
        <v>59</v>
      </c>
      <c r="H154" s="92" t="s">
        <v>60</v>
      </c>
      <c r="I154" s="92" t="s">
        <v>61</v>
      </c>
      <c r="J154" s="92" t="s">
        <v>62</v>
      </c>
      <c r="K154" s="92" t="s">
        <v>63</v>
      </c>
    </row>
    <row r="155" spans="2:15" ht="36" hidden="1" customHeight="1" x14ac:dyDescent="0.2">
      <c r="B155" s="115" t="s">
        <v>90</v>
      </c>
      <c r="C155" s="115"/>
      <c r="D155" s="115" t="s">
        <v>91</v>
      </c>
      <c r="E155" s="115"/>
      <c r="F155" s="93" t="s">
        <v>64</v>
      </c>
      <c r="G155" s="93" t="s">
        <v>65</v>
      </c>
      <c r="H155" s="93" t="s">
        <v>66</v>
      </c>
      <c r="I155" s="93" t="s">
        <v>67</v>
      </c>
      <c r="J155" s="93" t="s">
        <v>68</v>
      </c>
      <c r="K155" s="93" t="s">
        <v>69</v>
      </c>
    </row>
    <row r="156" spans="2:15" ht="15" hidden="1" customHeight="1" x14ac:dyDescent="0.2">
      <c r="B156" s="115" t="s">
        <v>73</v>
      </c>
      <c r="C156" s="115">
        <v>3.65</v>
      </c>
      <c r="D156" s="115" t="s">
        <v>88</v>
      </c>
      <c r="E156" s="115">
        <f>C156/Factores!$I$14</f>
        <v>0.49453488231708637</v>
      </c>
      <c r="F156" s="101">
        <v>50000</v>
      </c>
      <c r="G156" s="97">
        <v>2018</v>
      </c>
      <c r="H156" s="104">
        <v>43554</v>
      </c>
      <c r="I156" s="97" t="s">
        <v>77</v>
      </c>
      <c r="J156" s="97" t="s">
        <v>78</v>
      </c>
      <c r="K156" s="97" t="s">
        <v>79</v>
      </c>
    </row>
    <row r="157" spans="2:15" ht="15" hidden="1" customHeight="1" x14ac:dyDescent="0.2">
      <c r="B157" s="115"/>
      <c r="C157" s="115">
        <v>3.65</v>
      </c>
      <c r="D157" s="115" t="s">
        <v>88</v>
      </c>
      <c r="E157" s="115">
        <f>C157/Factores!$I$14</f>
        <v>0.49453488231708637</v>
      </c>
      <c r="F157" s="112"/>
      <c r="G157" s="112"/>
      <c r="H157" s="112"/>
      <c r="I157" s="112"/>
      <c r="J157" s="112"/>
      <c r="K157" s="112"/>
    </row>
    <row r="158" spans="2:15" ht="15" hidden="1" customHeight="1" x14ac:dyDescent="0.2">
      <c r="B158" s="115"/>
      <c r="C158" s="115">
        <v>3.65</v>
      </c>
      <c r="D158" s="115" t="s">
        <v>88</v>
      </c>
      <c r="E158" s="115">
        <f>C158/Factores!$I$14</f>
        <v>0.49453488231708637</v>
      </c>
      <c r="F158" s="112"/>
      <c r="G158" s="112"/>
      <c r="H158" s="112"/>
      <c r="I158" s="112"/>
      <c r="J158" s="112"/>
      <c r="K158" s="112"/>
    </row>
    <row r="159" spans="2:15" ht="15" hidden="1" customHeight="1" x14ac:dyDescent="0.2">
      <c r="B159" s="115"/>
      <c r="C159" s="115">
        <v>3.65</v>
      </c>
      <c r="D159" s="115" t="s">
        <v>88</v>
      </c>
      <c r="E159" s="115">
        <f>C159/Factores!$I$14</f>
        <v>0.49453488231708637</v>
      </c>
      <c r="F159" s="112"/>
      <c r="G159" s="112"/>
      <c r="H159" s="112"/>
      <c r="I159" s="112"/>
      <c r="J159" s="112"/>
      <c r="K159" s="112"/>
    </row>
    <row r="160" spans="2:15" ht="15.75" hidden="1" customHeight="1" thickBot="1" x14ac:dyDescent="0.25"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</row>
    <row r="161" spans="2:28" ht="18.75" hidden="1" customHeight="1" thickBot="1" x14ac:dyDescent="0.3">
      <c r="B161" s="115"/>
      <c r="C161" s="115" t="s">
        <v>119</v>
      </c>
      <c r="D161" s="115"/>
      <c r="E161" s="115" t="s">
        <v>160</v>
      </c>
      <c r="F161" s="133" t="s">
        <v>161</v>
      </c>
      <c r="G161" s="134" t="s">
        <v>162</v>
      </c>
      <c r="H161" s="134" t="s">
        <v>166</v>
      </c>
      <c r="I161" s="134" t="s">
        <v>258</v>
      </c>
      <c r="J161" s="134" t="s">
        <v>259</v>
      </c>
      <c r="K161" s="134" t="s">
        <v>163</v>
      </c>
      <c r="L161" s="135" t="s">
        <v>165</v>
      </c>
    </row>
    <row r="162" spans="2:28" ht="18.75" hidden="1" customHeight="1" thickBot="1" x14ac:dyDescent="0.3">
      <c r="B162" s="115" t="s">
        <v>70</v>
      </c>
      <c r="C162" s="115">
        <f>((C156*((Factores!C12*Factores!$L$4)+Factores!$N$4*Factores!$L$20+Factores!$P$4*Factores!$L$21)*Factores!$J$4)-(E156*(Factores!$L$5+Factores!$N$5*Factores!$L$20+Factores!$P$5*Factores!$L$21)*Factores!$J$5))*F156*Variables!C16</f>
        <v>191648.27554430417</v>
      </c>
      <c r="D162" s="115" t="s">
        <v>260</v>
      </c>
      <c r="E162" s="115">
        <f>(($C$156*Factores!$J$4*1000*Factores!U4/1000000)-(Formato!$E$156*Factores!$J$5*1000*Factores!U5/1000000))*$F156*Variables!$C$16</f>
        <v>43158.845990328016</v>
      </c>
      <c r="F162" s="136">
        <f>(($C$156*Factores!$J$4*1000*Factores!V4/1000000)-(Formato!$E$156*Factores!$J$5*1000*Factores!V5/1000000))*$F156*Variables!$C$16</f>
        <v>314.26636564343357</v>
      </c>
      <c r="G162" s="136">
        <f>(($C$156*Factores!$J$4*1000*Factores!W4/1000000)-(Formato!$E$156*Factores!$J$5*1000*Factores!W5/1000000))*$F156*Variables!$C$16</f>
        <v>6482.7156685239706</v>
      </c>
      <c r="H162" s="136">
        <f>(($C$156*Factores!$J$4*1000*Factores!X4/1000000)-(Formato!$E$156*Factores!$J$5*1000*Factores!X5/1000000))*$F156*Variables!$C$16</f>
        <v>117.6712845037849</v>
      </c>
      <c r="I162" s="136">
        <f>(($C$156*Factores!$J$4*1000*Factores!Y4/1000000)-(Formato!$E$156*Factores!$J$5*1000*Factores!Y5/1000000))*$F156*Variables!$C$16</f>
        <v>8216.8027380151416</v>
      </c>
      <c r="J162" s="136">
        <f>(($C$156*Factores!$J$4*1000*Factores!Z4/1000000)-(Formato!$E$156*Factores!$J$5*1000*Factores!Z5/1000000))*$F156*Variables!$C$16</f>
        <v>8000.4307380151395</v>
      </c>
      <c r="K162" s="136">
        <f>(($C$156*Factores!$J$4*1000*Factores!AA4/1000000)-(Formato!$E$156*Factores!$J$5*1000*Factores!AA5/1000000))*$F156*Variables!$C$16</f>
        <v>800.28840385281751</v>
      </c>
      <c r="L162" s="129" t="s">
        <v>164</v>
      </c>
    </row>
    <row r="163" spans="2:28" ht="18.75" customHeight="1" x14ac:dyDescent="0.2">
      <c r="B163" s="214" t="s">
        <v>55</v>
      </c>
      <c r="C163" s="214"/>
      <c r="D163" s="219" t="s">
        <v>56</v>
      </c>
      <c r="E163" s="219"/>
      <c r="F163" s="219"/>
      <c r="G163" s="219"/>
      <c r="H163" s="219"/>
      <c r="I163" s="219"/>
      <c r="J163" s="219"/>
    </row>
    <row r="164" spans="2:28" ht="27" x14ac:dyDescent="0.2">
      <c r="B164" s="90" t="s">
        <v>57</v>
      </c>
      <c r="C164" s="91" t="s">
        <v>253</v>
      </c>
      <c r="D164" s="90" t="s">
        <v>57</v>
      </c>
      <c r="E164" s="91" t="s">
        <v>253</v>
      </c>
      <c r="F164" s="91" t="s">
        <v>58</v>
      </c>
      <c r="G164" s="91" t="s">
        <v>134</v>
      </c>
      <c r="H164" s="91" t="s">
        <v>59</v>
      </c>
      <c r="I164" s="92" t="s">
        <v>215</v>
      </c>
      <c r="J164" s="92" t="s">
        <v>217</v>
      </c>
      <c r="K164" s="92" t="s">
        <v>60</v>
      </c>
      <c r="L164" s="92" t="s">
        <v>61</v>
      </c>
      <c r="M164" s="92" t="s">
        <v>62</v>
      </c>
      <c r="N164" s="92" t="s">
        <v>63</v>
      </c>
      <c r="O164" s="92" t="s">
        <v>254</v>
      </c>
      <c r="V164" s="92" t="s">
        <v>160</v>
      </c>
      <c r="W164" s="92" t="s">
        <v>161</v>
      </c>
      <c r="X164" s="92" t="s">
        <v>162</v>
      </c>
      <c r="Y164" s="92" t="s">
        <v>166</v>
      </c>
      <c r="Z164" s="92" t="s">
        <v>255</v>
      </c>
      <c r="AA164" s="92" t="s">
        <v>256</v>
      </c>
      <c r="AB164" s="92" t="s">
        <v>163</v>
      </c>
    </row>
    <row r="165" spans="2:28" ht="54" x14ac:dyDescent="0.2">
      <c r="B165" s="93" t="s">
        <v>90</v>
      </c>
      <c r="C165" s="93" t="s">
        <v>139</v>
      </c>
      <c r="D165" s="93" t="s">
        <v>91</v>
      </c>
      <c r="E165" s="93" t="s">
        <v>139</v>
      </c>
      <c r="F165" s="93" t="s">
        <v>64</v>
      </c>
      <c r="G165" s="93" t="s">
        <v>225</v>
      </c>
      <c r="H165" s="93" t="s">
        <v>65</v>
      </c>
      <c r="I165" s="93" t="s">
        <v>216</v>
      </c>
      <c r="J165" s="93" t="s">
        <v>218</v>
      </c>
      <c r="K165" s="93" t="s">
        <v>66</v>
      </c>
      <c r="L165" s="93" t="s">
        <v>67</v>
      </c>
      <c r="M165" s="93" t="s">
        <v>68</v>
      </c>
      <c r="N165" s="94" t="s">
        <v>69</v>
      </c>
      <c r="O165" s="94" t="s">
        <v>219</v>
      </c>
      <c r="Q165" s="95" t="s">
        <v>220</v>
      </c>
      <c r="R165" s="95" t="s">
        <v>221</v>
      </c>
      <c r="S165" s="95" t="s">
        <v>222</v>
      </c>
      <c r="T165" s="96" t="s">
        <v>223</v>
      </c>
      <c r="V165" s="93" t="s">
        <v>239</v>
      </c>
      <c r="W165" s="93" t="s">
        <v>240</v>
      </c>
      <c r="X165" s="93" t="s">
        <v>241</v>
      </c>
      <c r="Y165" s="93" t="s">
        <v>242</v>
      </c>
      <c r="Z165" s="93" t="s">
        <v>257</v>
      </c>
      <c r="AA165" s="93" t="s">
        <v>239</v>
      </c>
      <c r="AB165" s="93" t="s">
        <v>239</v>
      </c>
    </row>
    <row r="166" spans="2:28" ht="18.75" customHeight="1" x14ac:dyDescent="0.2">
      <c r="B166" s="115"/>
      <c r="C166" s="115"/>
      <c r="D166" s="115"/>
      <c r="E166" s="115"/>
      <c r="F166" s="238"/>
      <c r="G166" s="238"/>
      <c r="H166" s="238"/>
      <c r="I166" s="238"/>
      <c r="J166" s="238"/>
      <c r="K166" s="238"/>
      <c r="L166" s="115"/>
    </row>
    <row r="167" spans="2:28" ht="18.75" customHeight="1" x14ac:dyDescent="0.2">
      <c r="B167" s="115"/>
      <c r="C167" s="115"/>
      <c r="D167" s="115"/>
      <c r="E167" s="115"/>
      <c r="F167" s="238"/>
      <c r="G167" s="238"/>
      <c r="H167" s="238"/>
      <c r="I167" s="238"/>
      <c r="J167" s="238"/>
      <c r="K167" s="238"/>
      <c r="L167" s="115"/>
    </row>
    <row r="168" spans="2:28" ht="18.75" customHeight="1" x14ac:dyDescent="0.2">
      <c r="B168" s="115"/>
      <c r="C168" s="115"/>
      <c r="D168" s="115"/>
      <c r="E168" s="115"/>
      <c r="F168" s="238"/>
      <c r="G168" s="238"/>
      <c r="H168" s="238"/>
      <c r="I168" s="238"/>
      <c r="J168" s="238"/>
      <c r="K168" s="238"/>
      <c r="L168" s="115"/>
    </row>
    <row r="169" spans="2:28" ht="18.75" customHeight="1" x14ac:dyDescent="0.2">
      <c r="B169" s="115"/>
      <c r="C169" s="115"/>
      <c r="D169" s="115"/>
      <c r="E169" s="115"/>
      <c r="F169" s="238"/>
      <c r="G169" s="238"/>
      <c r="H169" s="238"/>
      <c r="I169" s="238"/>
      <c r="J169" s="238"/>
      <c r="K169" s="238"/>
      <c r="L169" s="115"/>
    </row>
    <row r="170" spans="2:28" ht="18.75" customHeight="1" x14ac:dyDescent="0.2">
      <c r="B170" s="115"/>
      <c r="C170" s="115"/>
      <c r="D170" s="115"/>
      <c r="E170" s="115"/>
      <c r="F170" s="238"/>
      <c r="G170" s="238"/>
      <c r="H170" s="238"/>
      <c r="I170" s="238"/>
      <c r="J170" s="238"/>
      <c r="K170" s="238"/>
      <c r="L170" s="115"/>
    </row>
    <row r="171" spans="2:28" x14ac:dyDescent="0.2">
      <c r="B171" s="115"/>
      <c r="C171" s="115"/>
      <c r="D171" s="115"/>
      <c r="E171" s="115"/>
      <c r="F171" s="137"/>
    </row>
    <row r="172" spans="2:28" x14ac:dyDescent="0.2">
      <c r="B172" s="215" t="s">
        <v>55</v>
      </c>
      <c r="C172" s="215"/>
      <c r="D172" s="216" t="s">
        <v>56</v>
      </c>
      <c r="E172" s="216"/>
    </row>
    <row r="173" spans="2:28" ht="27" x14ac:dyDescent="0.2">
      <c r="B173" s="92" t="s">
        <v>57</v>
      </c>
      <c r="C173" s="92" t="s">
        <v>262</v>
      </c>
      <c r="D173" s="92" t="s">
        <v>57</v>
      </c>
      <c r="E173" s="92" t="s">
        <v>263</v>
      </c>
      <c r="F173" s="92" t="s">
        <v>58</v>
      </c>
      <c r="G173" s="92" t="s">
        <v>134</v>
      </c>
      <c r="H173" s="92" t="s">
        <v>59</v>
      </c>
      <c r="I173" s="92" t="s">
        <v>215</v>
      </c>
      <c r="J173" s="92" t="s">
        <v>60</v>
      </c>
      <c r="K173" s="92" t="s">
        <v>61</v>
      </c>
      <c r="L173" s="92" t="s">
        <v>62</v>
      </c>
      <c r="M173" s="92" t="s">
        <v>63</v>
      </c>
      <c r="N173" s="92" t="s">
        <v>254</v>
      </c>
      <c r="V173" s="92" t="s">
        <v>160</v>
      </c>
      <c r="W173" s="92" t="s">
        <v>161</v>
      </c>
      <c r="X173" s="92" t="s">
        <v>162</v>
      </c>
      <c r="Y173" s="92" t="s">
        <v>166</v>
      </c>
      <c r="Z173" s="92" t="s">
        <v>255</v>
      </c>
      <c r="AA173" s="92" t="s">
        <v>256</v>
      </c>
      <c r="AB173" s="92" t="s">
        <v>163</v>
      </c>
    </row>
    <row r="174" spans="2:28" ht="63.75" x14ac:dyDescent="0.2">
      <c r="B174" s="93" t="s">
        <v>90</v>
      </c>
      <c r="C174" s="93" t="s">
        <v>238</v>
      </c>
      <c r="D174" s="93" t="s">
        <v>91</v>
      </c>
      <c r="E174" s="93"/>
      <c r="F174" s="93" t="s">
        <v>264</v>
      </c>
      <c r="G174" s="93" t="s">
        <v>225</v>
      </c>
      <c r="H174" s="93" t="s">
        <v>65</v>
      </c>
      <c r="I174" s="93" t="s">
        <v>216</v>
      </c>
      <c r="J174" s="93" t="s">
        <v>66</v>
      </c>
      <c r="K174" s="93" t="s">
        <v>67</v>
      </c>
      <c r="L174" s="93" t="s">
        <v>68</v>
      </c>
      <c r="M174" s="93" t="s">
        <v>69</v>
      </c>
      <c r="N174" s="93" t="s">
        <v>219</v>
      </c>
      <c r="O174" s="95" t="s">
        <v>220</v>
      </c>
      <c r="P174" s="95" t="s">
        <v>221</v>
      </c>
      <c r="Q174" s="95" t="s">
        <v>222</v>
      </c>
      <c r="R174" s="96" t="s">
        <v>223</v>
      </c>
      <c r="V174" s="93" t="s">
        <v>239</v>
      </c>
      <c r="W174" s="93" t="s">
        <v>240</v>
      </c>
      <c r="X174" s="93" t="s">
        <v>241</v>
      </c>
      <c r="Y174" s="93" t="s">
        <v>242</v>
      </c>
      <c r="Z174" s="93" t="s">
        <v>257</v>
      </c>
      <c r="AA174" s="93" t="s">
        <v>239</v>
      </c>
      <c r="AB174" s="93" t="s">
        <v>239</v>
      </c>
    </row>
    <row r="175" spans="2:28" ht="15" customHeight="1" x14ac:dyDescent="0.2">
      <c r="B175" s="97" t="s">
        <v>73</v>
      </c>
      <c r="C175" s="138">
        <f>E175*Factores!$I$14</f>
        <v>0</v>
      </c>
      <c r="D175" s="97" t="s">
        <v>88</v>
      </c>
      <c r="E175" s="138">
        <f>F175*10/1000</f>
        <v>0</v>
      </c>
      <c r="F175" s="139">
        <f>[1]Hoja1!B10/3</f>
        <v>0</v>
      </c>
      <c r="G175" s="101" t="s">
        <v>131</v>
      </c>
      <c r="H175" s="97">
        <v>2012</v>
      </c>
      <c r="I175" s="101" t="s">
        <v>226</v>
      </c>
      <c r="J175" s="104">
        <v>43847</v>
      </c>
      <c r="K175" s="97" t="s">
        <v>197</v>
      </c>
      <c r="L175" s="112"/>
      <c r="M175" s="112"/>
      <c r="N175" s="140">
        <f>((C175*((Factores!$C$4*Factores!$L$4)+Factores!$N$4*Factores!$L$20+Factores!$P$4*Factores!$L$21)*Factores!$J$4)-(E175*(Factores!$L$5+Factores!$N$5*Factores!$L$20+Factores!$P$5*Factores!$L$21)*Factores!$J$5))</f>
        <v>0</v>
      </c>
      <c r="O175" s="106">
        <f>C175*Factores!$J$4*(Factores!$L$4*Factores!$D$6+Factores!$N$4*Factores!$L$20+Factores!$P$4*Factores!$L$21)</f>
        <v>0</v>
      </c>
      <c r="P175" s="106">
        <f>E175*Factores!$J$5*(Factores!$L$5+Factores!$N$5*Factores!$L$20+Factores!$P$5*Factores!$L$21)</f>
        <v>0</v>
      </c>
      <c r="Q175" s="141">
        <f t="shared" ref="Q175:Q180" si="12">O175-P175</f>
        <v>0</v>
      </c>
      <c r="R175" s="106">
        <f t="shared" ref="R175:R210" si="13">N175-Q175</f>
        <v>0</v>
      </c>
      <c r="V175" s="140">
        <f>($C175*Factores!$J$4*1000*Factores!U$4-Formato!$E175*Factores!$J$5*1000*Factores!U$5)/1000000</f>
        <v>0</v>
      </c>
      <c r="W175" s="140">
        <f>($C175*Factores!$J$4*1000*Factores!V$4-Formato!$E175*Factores!$J$5*1000*Factores!V$5)/1000000</f>
        <v>0</v>
      </c>
      <c r="X175" s="140">
        <f>($C175*Factores!$J$4*1000*Factores!W$4-Formato!$E175*Factores!$J$5*1000*Factores!W$5)/1000000</f>
        <v>0</v>
      </c>
      <c r="Y175" s="140">
        <f>($C175*Factores!$J$4*1000*Factores!X$4-Formato!$E175*Factores!$J$5*1000*Factores!X$5)/1000000</f>
        <v>0</v>
      </c>
      <c r="Z175" s="140">
        <f>($C175*Factores!$J$4*1000*Factores!Y$4-Formato!$E175*Factores!$J$5*1000*Factores!Y$5)/1000000</f>
        <v>0</v>
      </c>
      <c r="AA175" s="140">
        <f>($C175*Factores!$J$4*1000*Factores!Z$4-Formato!$E175*Factores!$J$5*1000*Factores!Z$5)/1000000</f>
        <v>0</v>
      </c>
      <c r="AB175" s="140">
        <f>($C175*Factores!$J$4*1000*Factores!AA$4-Formato!$E175*Factores!$J$5*1000*Factores!AA$5)/1000000</f>
        <v>0</v>
      </c>
    </row>
    <row r="176" spans="2:28" ht="15" customHeight="1" x14ac:dyDescent="0.2">
      <c r="B176" s="97" t="s">
        <v>73</v>
      </c>
      <c r="C176" s="138">
        <f>E176*Factores!$I$14</f>
        <v>0</v>
      </c>
      <c r="D176" s="97" t="s">
        <v>88</v>
      </c>
      <c r="E176" s="138">
        <f t="shared" ref="E176:E210" si="14">F176*10/1000</f>
        <v>0</v>
      </c>
      <c r="F176" s="139">
        <f>[1]Hoja1!B11/3</f>
        <v>0</v>
      </c>
      <c r="G176" s="101" t="s">
        <v>131</v>
      </c>
      <c r="H176" s="97">
        <v>2012</v>
      </c>
      <c r="I176" s="101" t="s">
        <v>227</v>
      </c>
      <c r="J176" s="104">
        <v>43847</v>
      </c>
      <c r="K176" s="97" t="s">
        <v>197</v>
      </c>
      <c r="L176" s="112"/>
      <c r="M176" s="112"/>
      <c r="N176" s="140">
        <f>((C176*((Factores!$C$4*Factores!$L$4)+Factores!$N$4*Factores!$L$20+Factores!$P$4*Factores!$L$21)*Factores!$J$4)-(E176*(Factores!$L$5+Factores!$N$5*Factores!$L$20+Factores!$P$5*Factores!$L$21)*Factores!$J$5))</f>
        <v>0</v>
      </c>
      <c r="O176" s="106">
        <f>C176*Factores!$J$4*(Factores!$L$4*Factores!$D$6+Factores!$N$4*Factores!$L$20+Factores!$P$4*Factores!$L$21)</f>
        <v>0</v>
      </c>
      <c r="P176" s="106">
        <f>E176*Factores!$J$5*(Factores!$L$5+Factores!$N$5*Factores!$L$20+Factores!$P$5*Factores!$L$21)</f>
        <v>0</v>
      </c>
      <c r="Q176" s="141">
        <f t="shared" si="12"/>
        <v>0</v>
      </c>
      <c r="R176" s="106">
        <f t="shared" si="13"/>
        <v>0</v>
      </c>
      <c r="V176" s="140">
        <f>($C176*Factores!$J$4*1000*Factores!U$4-Formato!$E176*Factores!$J$5*1000*Factores!U$5)/1000000</f>
        <v>0</v>
      </c>
      <c r="W176" s="140">
        <f>($C176*Factores!$J$4*1000*Factores!V$4-Formato!$E176*Factores!$J$5*1000*Factores!V$5)/1000000</f>
        <v>0</v>
      </c>
      <c r="X176" s="140">
        <f>($C176*Factores!$J$4*1000*Factores!W$4-Formato!$E176*Factores!$J$5*1000*Factores!W$5)/1000000</f>
        <v>0</v>
      </c>
      <c r="Y176" s="140">
        <f>($C176*Factores!$J$4*1000*Factores!X$4-Formato!$E176*Factores!$J$5*1000*Factores!X$5)/1000000</f>
        <v>0</v>
      </c>
      <c r="Z176" s="140">
        <f>($C176*Factores!$J$4*1000*Factores!Y$4-Formato!$E176*Factores!$J$5*1000*Factores!Y$5)/1000000</f>
        <v>0</v>
      </c>
      <c r="AA176" s="140">
        <f>($C176*Factores!$J$4*1000*Factores!Z$4-Formato!$E176*Factores!$J$5*1000*Factores!Z$5)/1000000</f>
        <v>0</v>
      </c>
      <c r="AB176" s="140">
        <f>($C176*Factores!$J$4*1000*Factores!AA$4-Formato!$E176*Factores!$J$5*1000*Factores!AA$5)/1000000</f>
        <v>0</v>
      </c>
    </row>
    <row r="177" spans="2:30" ht="15" customHeight="1" x14ac:dyDescent="0.2">
      <c r="B177" s="97" t="s">
        <v>73</v>
      </c>
      <c r="C177" s="138">
        <f>E177*Factores!$I$14</f>
        <v>0</v>
      </c>
      <c r="D177" s="97" t="s">
        <v>88</v>
      </c>
      <c r="E177" s="138">
        <f t="shared" si="14"/>
        <v>0</v>
      </c>
      <c r="F177" s="139">
        <f>[1]Hoja1!B12/3</f>
        <v>0</v>
      </c>
      <c r="G177" s="101" t="s">
        <v>131</v>
      </c>
      <c r="H177" s="97">
        <v>2012</v>
      </c>
      <c r="I177" s="101" t="s">
        <v>228</v>
      </c>
      <c r="J177" s="104">
        <v>43847</v>
      </c>
      <c r="K177" s="97" t="s">
        <v>197</v>
      </c>
      <c r="L177" s="112"/>
      <c r="M177" s="112"/>
      <c r="N177" s="140">
        <f>((C177*((Factores!$C$4*Factores!$L$4)+Factores!$N$4*Factores!$L$20+Factores!$P$4*Factores!$L$21)*Factores!$J$4)-(E177*(Factores!$L$5+Factores!$N$5*Factores!$L$20+Factores!$P$5*Factores!$L$21)*Factores!$J$5))</f>
        <v>0</v>
      </c>
      <c r="O177" s="106">
        <f>C177*Factores!$J$4*(Factores!$L$4*Factores!$D$6+Factores!$N$4*Factores!$L$20+Factores!$P$4*Factores!$L$21)</f>
        <v>0</v>
      </c>
      <c r="P177" s="106">
        <f>E177*Factores!$J$5*(Factores!$L$5+Factores!$N$5*Factores!$L$20+Factores!$P$5*Factores!$L$21)</f>
        <v>0</v>
      </c>
      <c r="Q177" s="141">
        <f t="shared" si="12"/>
        <v>0</v>
      </c>
      <c r="R177" s="106">
        <f t="shared" si="13"/>
        <v>0</v>
      </c>
      <c r="V177" s="140">
        <f>($C177*Factores!$J$4*1000*Factores!U$4-Formato!$E177*Factores!$J$5*1000*Factores!U$5)/1000000</f>
        <v>0</v>
      </c>
      <c r="W177" s="140">
        <f>($C177*Factores!$J$4*1000*Factores!V$4-Formato!$E177*Factores!$J$5*1000*Factores!V$5)/1000000</f>
        <v>0</v>
      </c>
      <c r="X177" s="140">
        <f>($C177*Factores!$J$4*1000*Factores!W$4-Formato!$E177*Factores!$J$5*1000*Factores!W$5)/1000000</f>
        <v>0</v>
      </c>
      <c r="Y177" s="140">
        <f>($C177*Factores!$J$4*1000*Factores!X$4-Formato!$E177*Factores!$J$5*1000*Factores!X$5)/1000000</f>
        <v>0</v>
      </c>
      <c r="Z177" s="140">
        <f>($C177*Factores!$J$4*1000*Factores!Y$4-Formato!$E177*Factores!$J$5*1000*Factores!Y$5)/1000000</f>
        <v>0</v>
      </c>
      <c r="AA177" s="140">
        <f>($C177*Factores!$J$4*1000*Factores!Z$4-Formato!$E177*Factores!$J$5*1000*Factores!Z$5)/1000000</f>
        <v>0</v>
      </c>
      <c r="AB177" s="140">
        <f>($C177*Factores!$J$4*1000*Factores!AA$4-Formato!$E177*Factores!$J$5*1000*Factores!AA$5)/1000000</f>
        <v>0</v>
      </c>
    </row>
    <row r="178" spans="2:30" ht="15" customHeight="1" x14ac:dyDescent="0.2">
      <c r="B178" s="97" t="s">
        <v>73</v>
      </c>
      <c r="C178" s="138">
        <f>E178*Factores!$I$14</f>
        <v>0</v>
      </c>
      <c r="D178" s="97" t="s">
        <v>88</v>
      </c>
      <c r="E178" s="138">
        <f t="shared" si="14"/>
        <v>0</v>
      </c>
      <c r="F178" s="139">
        <f>[1]Hoja1!B13/3</f>
        <v>0</v>
      </c>
      <c r="G178" s="101" t="s">
        <v>131</v>
      </c>
      <c r="H178" s="97">
        <v>2012</v>
      </c>
      <c r="I178" s="101" t="s">
        <v>229</v>
      </c>
      <c r="J178" s="104">
        <v>43847</v>
      </c>
      <c r="K178" s="97" t="s">
        <v>197</v>
      </c>
      <c r="L178" s="112"/>
      <c r="M178" s="112"/>
      <c r="N178" s="140">
        <f>((C178*((Factores!$C$4*Factores!$L$4)+Factores!$N$4*Factores!$L$20+Factores!$P$4*Factores!$L$21)*Factores!$J$4)-(E178*(Factores!$L$5+Factores!$N$5*Factores!$L$20+Factores!$P$5*Factores!$L$21)*Factores!$J$5))</f>
        <v>0</v>
      </c>
      <c r="O178" s="106">
        <f>C178*Factores!$J$4*(Factores!$L$4*Factores!$D$6+Factores!$N$4*Factores!$L$20+Factores!$P$4*Factores!$L$21)</f>
        <v>0</v>
      </c>
      <c r="P178" s="106">
        <f>E178*Factores!$J$5*(Factores!$L$5+Factores!$N$5*Factores!$L$20+Factores!$P$5*Factores!$L$21)</f>
        <v>0</v>
      </c>
      <c r="Q178" s="141">
        <f t="shared" si="12"/>
        <v>0</v>
      </c>
      <c r="R178" s="106">
        <f t="shared" si="13"/>
        <v>0</v>
      </c>
      <c r="V178" s="140">
        <f>($C178*Factores!$J$4*1000*Factores!U$4-Formato!$E178*Factores!$J$5*1000*Factores!U$5)/1000000</f>
        <v>0</v>
      </c>
      <c r="W178" s="140">
        <f>($C178*Factores!$J$4*1000*Factores!V$4-Formato!$E178*Factores!$J$5*1000*Factores!V$5)/1000000</f>
        <v>0</v>
      </c>
      <c r="X178" s="140">
        <f>($C178*Factores!$J$4*1000*Factores!W$4-Formato!$E178*Factores!$J$5*1000*Factores!W$5)/1000000</f>
        <v>0</v>
      </c>
      <c r="Y178" s="140">
        <f>($C178*Factores!$J$4*1000*Factores!X$4-Formato!$E178*Factores!$J$5*1000*Factores!X$5)/1000000</f>
        <v>0</v>
      </c>
      <c r="Z178" s="140">
        <f>($C178*Factores!$J$4*1000*Factores!Y$4-Formato!$E178*Factores!$J$5*1000*Factores!Y$5)/1000000</f>
        <v>0</v>
      </c>
      <c r="AA178" s="140">
        <f>($C178*Factores!$J$4*1000*Factores!Z$4-Formato!$E178*Factores!$J$5*1000*Factores!Z$5)/1000000</f>
        <v>0</v>
      </c>
      <c r="AB178" s="140">
        <f>($C178*Factores!$J$4*1000*Factores!AA$4-Formato!$E178*Factores!$J$5*1000*Factores!AA$5)/1000000</f>
        <v>0</v>
      </c>
    </row>
    <row r="179" spans="2:30" ht="15" customHeight="1" x14ac:dyDescent="0.2">
      <c r="B179" s="97" t="s">
        <v>73</v>
      </c>
      <c r="C179" s="138">
        <f>E179*Factores!$I$14</f>
        <v>0</v>
      </c>
      <c r="D179" s="97" t="s">
        <v>88</v>
      </c>
      <c r="E179" s="138">
        <f t="shared" si="14"/>
        <v>0</v>
      </c>
      <c r="F179" s="139">
        <f>[1]Hoja1!B14/3</f>
        <v>0</v>
      </c>
      <c r="G179" s="101" t="s">
        <v>131</v>
      </c>
      <c r="H179" s="97">
        <v>2012</v>
      </c>
      <c r="I179" s="101" t="s">
        <v>230</v>
      </c>
      <c r="J179" s="104">
        <v>43847</v>
      </c>
      <c r="K179" s="97" t="s">
        <v>197</v>
      </c>
      <c r="L179" s="112"/>
      <c r="M179" s="112"/>
      <c r="N179" s="140">
        <f>((C179*((Factores!$C$4*Factores!$L$4)+Factores!$N$4*Factores!$L$20+Factores!$P$4*Factores!$L$21)*Factores!$J$4)-(E179*(Factores!$L$5+Factores!$N$5*Factores!$L$20+Factores!$P$5*Factores!$L$21)*Factores!$J$5))</f>
        <v>0</v>
      </c>
      <c r="O179" s="106">
        <f>C179*Factores!$J$4*(Factores!$L$4*Factores!$D$6+Factores!$N$4*Factores!$L$20+Factores!$P$4*Factores!$L$21)</f>
        <v>0</v>
      </c>
      <c r="P179" s="106">
        <f>E179*Factores!$J$5*(Factores!$L$5+Factores!$N$5*Factores!$L$20+Factores!$P$5*Factores!$L$21)</f>
        <v>0</v>
      </c>
      <c r="Q179" s="141">
        <f t="shared" si="12"/>
        <v>0</v>
      </c>
      <c r="R179" s="106">
        <f t="shared" si="13"/>
        <v>0</v>
      </c>
      <c r="V179" s="140">
        <f>($C179*Factores!$J$4*1000*Factores!U$4-Formato!$E179*Factores!$J$5*1000*Factores!U$5)/1000000</f>
        <v>0</v>
      </c>
      <c r="W179" s="140">
        <f>($C179*Factores!$J$4*1000*Factores!V$4-Formato!$E179*Factores!$J$5*1000*Factores!V$5)/1000000</f>
        <v>0</v>
      </c>
      <c r="X179" s="140">
        <f>($C179*Factores!$J$4*1000*Factores!W$4-Formato!$E179*Factores!$J$5*1000*Factores!W$5)/1000000</f>
        <v>0</v>
      </c>
      <c r="Y179" s="140">
        <f>($C179*Factores!$J$4*1000*Factores!X$4-Formato!$E179*Factores!$J$5*1000*Factores!X$5)/1000000</f>
        <v>0</v>
      </c>
      <c r="Z179" s="140">
        <f>($C179*Factores!$J$4*1000*Factores!Y$4-Formato!$E179*Factores!$J$5*1000*Factores!Y$5)/1000000</f>
        <v>0</v>
      </c>
      <c r="AA179" s="140">
        <f>($C179*Factores!$J$4*1000*Factores!Z$4-Formato!$E179*Factores!$J$5*1000*Factores!Z$5)/1000000</f>
        <v>0</v>
      </c>
      <c r="AB179" s="140">
        <f>($C179*Factores!$J$4*1000*Factores!AA$4-Formato!$E179*Factores!$J$5*1000*Factores!AA$5)/1000000</f>
        <v>0</v>
      </c>
    </row>
    <row r="180" spans="2:30" ht="15" customHeight="1" x14ac:dyDescent="0.2">
      <c r="B180" s="97" t="s">
        <v>73</v>
      </c>
      <c r="C180" s="138">
        <f>E180*Factores!$I$14</f>
        <v>0</v>
      </c>
      <c r="D180" s="97" t="s">
        <v>88</v>
      </c>
      <c r="E180" s="138">
        <f t="shared" si="14"/>
        <v>0</v>
      </c>
      <c r="F180" s="139">
        <f>[1]Hoja1!B15/3</f>
        <v>0</v>
      </c>
      <c r="G180" s="101" t="s">
        <v>131</v>
      </c>
      <c r="H180" s="97">
        <v>2012</v>
      </c>
      <c r="I180" s="101" t="s">
        <v>231</v>
      </c>
      <c r="J180" s="104">
        <v>43847</v>
      </c>
      <c r="K180" s="97" t="s">
        <v>197</v>
      </c>
      <c r="L180" s="112"/>
      <c r="M180" s="112"/>
      <c r="N180" s="140">
        <f>((C180*((Factores!$C$4*Factores!$L$4)+Factores!$N$4*Factores!$L$20+Factores!$P$4*Factores!$L$21)*Factores!$J$4)-(E180*(Factores!$L$5+Factores!$N$5*Factores!$L$20+Factores!$P$5*Factores!$L$21)*Factores!$J$5))</f>
        <v>0</v>
      </c>
      <c r="O180" s="106">
        <f>C180*Factores!$J$4*(Factores!$L$4*Factores!$D$6+Factores!$N$4*Factores!$L$20+Factores!$P$4*Factores!$L$21)</f>
        <v>0</v>
      </c>
      <c r="P180" s="106">
        <f>E180*Factores!$J$5*(Factores!$L$5+Factores!$N$5*Factores!$L$20+Factores!$P$5*Factores!$L$21)</f>
        <v>0</v>
      </c>
      <c r="Q180" s="141">
        <f t="shared" si="12"/>
        <v>0</v>
      </c>
      <c r="R180" s="106">
        <f t="shared" si="13"/>
        <v>0</v>
      </c>
      <c r="V180" s="140">
        <f>($C180*Factores!$J$4*1000*Factores!U$4-Formato!$E180*Factores!$J$5*1000*Factores!U$5)/1000000</f>
        <v>0</v>
      </c>
      <c r="W180" s="140">
        <f>($C180*Factores!$J$4*1000*Factores!V$4-Formato!$E180*Factores!$J$5*1000*Factores!V$5)/1000000</f>
        <v>0</v>
      </c>
      <c r="X180" s="140">
        <f>($C180*Factores!$J$4*1000*Factores!W$4-Formato!$E180*Factores!$J$5*1000*Factores!W$5)/1000000</f>
        <v>0</v>
      </c>
      <c r="Y180" s="140">
        <f>($C180*Factores!$J$4*1000*Factores!X$4-Formato!$E180*Factores!$J$5*1000*Factores!X$5)/1000000</f>
        <v>0</v>
      </c>
      <c r="Z180" s="140">
        <f>($C180*Factores!$J$4*1000*Factores!Y$4-Formato!$E180*Factores!$J$5*1000*Factores!Y$5)/1000000</f>
        <v>0</v>
      </c>
      <c r="AA180" s="140">
        <f>($C180*Factores!$J$4*1000*Factores!Z$4-Formato!$E180*Factores!$J$5*1000*Factores!Z$5)/1000000</f>
        <v>0</v>
      </c>
      <c r="AB180" s="140">
        <f>($C180*Factores!$J$4*1000*Factores!AA$4-Formato!$E180*Factores!$J$5*1000*Factores!AA$5)/1000000</f>
        <v>0</v>
      </c>
    </row>
    <row r="181" spans="2:30" ht="15" customHeight="1" x14ac:dyDescent="0.2">
      <c r="B181" s="97" t="s">
        <v>73</v>
      </c>
      <c r="C181" s="138">
        <f>E181*Factores!$I$14</f>
        <v>157.99559571459122</v>
      </c>
      <c r="D181" s="97" t="s">
        <v>88</v>
      </c>
      <c r="E181" s="138">
        <f>F181*10/1000</f>
        <v>21.406666666666663</v>
      </c>
      <c r="F181" s="139">
        <f>[1]Hoja1!B16/3</f>
        <v>2140.6666666666665</v>
      </c>
      <c r="G181" s="101" t="s">
        <v>131</v>
      </c>
      <c r="H181" s="97">
        <v>2012</v>
      </c>
      <c r="I181" s="101" t="s">
        <v>232</v>
      </c>
      <c r="J181" s="104">
        <v>43847</v>
      </c>
      <c r="K181" s="97" t="s">
        <v>197</v>
      </c>
      <c r="L181" s="112"/>
      <c r="M181" s="112"/>
      <c r="N181" s="140">
        <f>((C181*((Factores!$D$6*Factores!$L$4)+Factores!$N$4*Factores!$L$20+Factores!$P$4*Factores!$L$21)*Factores!$J$4)-(E181*(Factores!$L$5+Factores!$N$5*Factores!$L$20+Factores!$P$5*Factores!$L$21)*Factores!$J$5))</f>
        <v>76.787969059062618</v>
      </c>
      <c r="O181" s="106">
        <f>C181*Factores!$J$4*(Factores!$L$4*Factores!$D$6+Factores!$N$4*Factores!$L$20+Factores!$P$4*Factores!$L$21)</f>
        <v>140.73615683872927</v>
      </c>
      <c r="P181" s="106">
        <f>E181*Factores!$J$5*(Factores!$L$5+Factores!$N$5*Factores!$L$20+Factores!$P$5*Factores!$L$21)</f>
        <v>63.948187779666654</v>
      </c>
      <c r="Q181" s="141">
        <f t="shared" ref="Q181" si="15">O181-P181</f>
        <v>76.787969059062618</v>
      </c>
      <c r="R181" s="106">
        <f t="shared" si="13"/>
        <v>0</v>
      </c>
      <c r="V181" s="140">
        <f>($C181*Factores!$J$4*1000*Factores!U$4-Formato!$E181*Factores!$J$5*1000*Factores!U$5)/1000000</f>
        <v>9.8325992539238261</v>
      </c>
      <c r="W181" s="140">
        <f>($C181*Factores!$J$4*1000*Factores!V$4-Formato!$E181*Factores!$J$5*1000*Factores!V$5)/1000000</f>
        <v>7.1597262657381158E-2</v>
      </c>
      <c r="X181" s="140">
        <f>($C181*Factores!$J$4*1000*Factores!W$4-Formato!$E181*Factores!$J$5*1000*Factores!W$5)/1000000</f>
        <v>1.4769149587552406</v>
      </c>
      <c r="Y181" s="140">
        <f>($C181*Factores!$J$4*1000*Factores!X$4-Formato!$E181*Factores!$J$5*1000*Factores!X$5)/1000000</f>
        <v>2.6808283624623851E-2</v>
      </c>
      <c r="Z181" s="140">
        <f>($C181*Factores!$J$4*1000*Factores!Y$4-Formato!$E181*Factores!$J$5*1000*Factores!Y$5)/1000000</f>
        <v>1.8719807403921938</v>
      </c>
      <c r="AA181" s="140">
        <f>($C181*Factores!$J$4*1000*Factores!Z$4-Formato!$E181*Factores!$J$5*1000*Factores!Z$5)/1000000</f>
        <v>1.822686114529241</v>
      </c>
      <c r="AB181" s="140">
        <f>($C181*Factores!$J$4*1000*Factores!AA$4-Formato!$E181*Factores!$J$5*1000*Factores!AA$5)/1000000</f>
        <v>0.18232450340332412</v>
      </c>
      <c r="AC181" s="142"/>
      <c r="AD181" s="142"/>
    </row>
    <row r="182" spans="2:30" ht="15" customHeight="1" x14ac:dyDescent="0.2">
      <c r="B182" s="97" t="s">
        <v>73</v>
      </c>
      <c r="C182" s="138">
        <f>E182*Factores!$I$14</f>
        <v>186.28817358313373</v>
      </c>
      <c r="D182" s="97" t="s">
        <v>88</v>
      </c>
      <c r="E182" s="138">
        <f t="shared" si="14"/>
        <v>25.24</v>
      </c>
      <c r="F182" s="139">
        <f>[1]Hoja1!B17/3</f>
        <v>2524</v>
      </c>
      <c r="G182" s="101" t="s">
        <v>131</v>
      </c>
      <c r="H182" s="97">
        <v>2012</v>
      </c>
      <c r="I182" s="101" t="s">
        <v>233</v>
      </c>
      <c r="J182" s="104">
        <v>43847</v>
      </c>
      <c r="K182" s="97" t="s">
        <v>197</v>
      </c>
      <c r="L182" s="112"/>
      <c r="M182" s="112"/>
      <c r="N182" s="140">
        <f>((C182*((Factores!$D$6*Factores!$L$4)+Factores!$N$4*Factores!$L$20+Factores!$P$4*Factores!$L$21)*Factores!$J$4)-(E182*(Factores!$L$5+Factores!$N$5*Factores!$L$20+Factores!$P$5*Factores!$L$21)*Factores!$J$5))</f>
        <v>90.538539662912186</v>
      </c>
      <c r="O182" s="106">
        <f>C182*Factores!$J$4*(Factores!$L$4*Factores!$D$6+Factores!$N$4*Factores!$L$20+Factores!$P$4*Factores!$L$21)</f>
        <v>165.93805350091219</v>
      </c>
      <c r="P182" s="106">
        <f>E182*Factores!$J$5*(Factores!$L$5+Factores!$N$5*Factores!$L$20+Factores!$P$5*Factores!$L$21)</f>
        <v>75.39951383799999</v>
      </c>
      <c r="Q182" s="141">
        <f t="shared" ref="Q182:Q187" si="16">O182-P182</f>
        <v>90.5385396629122</v>
      </c>
      <c r="R182" s="106">
        <f t="shared" si="13"/>
        <v>0</v>
      </c>
      <c r="V182" s="140">
        <f>($C182*Factores!$J$4*1000*Factores!U$4-Formato!$E182*Factores!$J$5*1000*Factores!U$5)/1000000</f>
        <v>11.593341879587543</v>
      </c>
      <c r="W182" s="140">
        <f>($C182*Factores!$J$4*1000*Factores!V$4-Formato!$E182*Factores!$J$5*1000*Factores!V$5)/1000000</f>
        <v>8.4418323394844313E-2</v>
      </c>
      <c r="X182" s="140">
        <f>($C182*Factores!$J$4*1000*Factores!W$4-Formato!$E182*Factores!$J$5*1000*Factores!W$5)/1000000</f>
        <v>1.7413889859381315</v>
      </c>
      <c r="Y182" s="140">
        <f>($C182*Factores!$J$4*1000*Factores!X$4-Formato!$E182*Factores!$J$5*1000*Factores!X$5)/1000000</f>
        <v>3.1608894986865747E-2</v>
      </c>
      <c r="Z182" s="140">
        <f>($C182*Factores!$J$4*1000*Factores!Y$4-Formato!$E182*Factores!$J$5*1000*Factores!Y$5)/1000000</f>
        <v>2.2071999636016328</v>
      </c>
      <c r="AA182" s="140">
        <f>($C182*Factores!$J$4*1000*Factores!Z$4-Formato!$E182*Factores!$J$5*1000*Factores!Z$5)/1000000</f>
        <v>2.1490780534436955</v>
      </c>
      <c r="AB182" s="140">
        <f>($C182*Factores!$J$4*1000*Factores!AA$4-Formato!$E182*Factores!$J$5*1000*Factores!AA$5)/1000000</f>
        <v>0.21497370597476959</v>
      </c>
    </row>
    <row r="183" spans="2:30" ht="15" customHeight="1" x14ac:dyDescent="0.2">
      <c r="B183" s="97" t="s">
        <v>73</v>
      </c>
      <c r="C183" s="138">
        <f>E183*Factores!$I$14</f>
        <v>129.23557525517717</v>
      </c>
      <c r="D183" s="97" t="s">
        <v>88</v>
      </c>
      <c r="E183" s="138">
        <f t="shared" si="14"/>
        <v>17.510000000000002</v>
      </c>
      <c r="F183" s="139">
        <f>[1]Hoja1!B18/3</f>
        <v>1751</v>
      </c>
      <c r="G183" s="101" t="s">
        <v>131</v>
      </c>
      <c r="H183" s="97">
        <v>2012</v>
      </c>
      <c r="I183" s="101" t="s">
        <v>234</v>
      </c>
      <c r="J183" s="104">
        <v>43847</v>
      </c>
      <c r="K183" s="97" t="s">
        <v>197</v>
      </c>
      <c r="L183" s="112"/>
      <c r="M183" s="112"/>
      <c r="N183" s="140">
        <f>((C183*((Factores!$D$6*Factores!$L$4)+Factores!$N$4*Factores!$L$20+Factores!$P$4*Factores!$L$21)*Factores!$J$4)-(E183*(Factores!$L$5+Factores!$N$5*Factores!$L$20+Factores!$P$5*Factores!$L$21)*Factores!$J$5))</f>
        <v>62.810215114801608</v>
      </c>
      <c r="O183" s="106">
        <f>C183*Factores!$J$4*(Factores!$L$4*Factores!$D$6+Factores!$N$4*Factores!$L$20+Factores!$P$4*Factores!$L$21)</f>
        <v>115.11788101430162</v>
      </c>
      <c r="P183" s="106">
        <f>E183*Factores!$J$5*(Factores!$L$5+Factores!$N$5*Factores!$L$20+Factores!$P$5*Factores!$L$21)</f>
        <v>52.307665899500009</v>
      </c>
      <c r="Q183" s="141">
        <f t="shared" si="16"/>
        <v>62.810215114801608</v>
      </c>
      <c r="R183" s="106">
        <f t="shared" si="13"/>
        <v>0</v>
      </c>
      <c r="V183" s="140">
        <f>($C183*Factores!$J$4*1000*Factores!U$4-Formato!$E183*Factores!$J$5*1000*Factores!U$5)/1000000</f>
        <v>8.0427660979230549</v>
      </c>
      <c r="W183" s="140">
        <f>($C183*Factores!$J$4*1000*Factores!V$4-Formato!$E183*Factores!$J$5*1000*Factores!V$5)/1000000</f>
        <v>5.8564375699038183E-2</v>
      </c>
      <c r="X183" s="140">
        <f>($C183*Factores!$J$4*1000*Factores!W$4-Formato!$E183*Factores!$J$5*1000*Factores!W$5)/1000000</f>
        <v>1.2080713606884581</v>
      </c>
      <c r="Y183" s="140">
        <f>($C183*Factores!$J$4*1000*Factores!X$4-Formato!$E183*Factores!$J$5*1000*Factores!X$5)/1000000</f>
        <v>2.1928357813788404E-2</v>
      </c>
      <c r="Z183" s="140">
        <f>($C183*Factores!$J$4*1000*Factores!Y$4-Formato!$E183*Factores!$J$5*1000*Factores!Y$5)/1000000</f>
        <v>1.5312231126253806</v>
      </c>
      <c r="AA183" s="140">
        <f>($C183*Factores!$J$4*1000*Factores!Z$4-Formato!$E183*Factores!$J$5*1000*Factores!Z$5)/1000000</f>
        <v>1.4909016131457651</v>
      </c>
      <c r="AB183" s="140">
        <f>($C183*Factores!$J$4*1000*Factores!AA$4-Formato!$E183*Factores!$J$5*1000*Factores!AA$5)/1000000</f>
        <v>0.14913587922417654</v>
      </c>
    </row>
    <row r="184" spans="2:30" ht="15" customHeight="1" x14ac:dyDescent="0.2">
      <c r="B184" s="97" t="s">
        <v>73</v>
      </c>
      <c r="C184" s="138">
        <f>E184*Factores!$I$14</f>
        <v>114.671048213284</v>
      </c>
      <c r="D184" s="97" t="s">
        <v>88</v>
      </c>
      <c r="E184" s="138">
        <f t="shared" si="14"/>
        <v>15.536666666666667</v>
      </c>
      <c r="F184" s="139">
        <f>[1]Hoja1!B19/3</f>
        <v>1553.6666666666667</v>
      </c>
      <c r="G184" s="101" t="s">
        <v>131</v>
      </c>
      <c r="H184" s="97">
        <v>2012</v>
      </c>
      <c r="I184" s="101" t="s">
        <v>235</v>
      </c>
      <c r="J184" s="104">
        <v>43847</v>
      </c>
      <c r="K184" s="97" t="s">
        <v>197</v>
      </c>
      <c r="L184" s="112"/>
      <c r="M184" s="112"/>
      <c r="N184" s="140">
        <f>((C184*((Factores!$D$6*Factores!$L$4)+Factores!$N$4*Factores!$L$20+Factores!$P$4*Factores!$L$21)*Factores!$J$4)-(E184*(Factores!$L$5+Factores!$N$5*Factores!$L$20+Factores!$P$5*Factores!$L$21)*Factores!$J$5))</f>
        <v>55.731660508298184</v>
      </c>
      <c r="O184" s="106">
        <f>C184*Factores!$J$4*(Factores!$L$4*Factores!$D$6+Factores!$N$4*Factores!$L$20+Factores!$P$4*Factores!$L$21)</f>
        <v>102.14438290646484</v>
      </c>
      <c r="P184" s="106">
        <f>E184*Factores!$J$5*(Factores!$L$5+Factores!$N$5*Factores!$L$20+Factores!$P$5*Factores!$L$21)</f>
        <v>46.412722398166672</v>
      </c>
      <c r="Q184" s="141">
        <f t="shared" si="16"/>
        <v>55.73166050829817</v>
      </c>
      <c r="R184" s="106">
        <f t="shared" si="13"/>
        <v>0</v>
      </c>
      <c r="V184" s="140">
        <f>($C184*Factores!$J$4*1000*Factores!U$4-Formato!$E184*Factores!$J$5*1000*Factores!U$5)/1000000</f>
        <v>7.1363664158422537</v>
      </c>
      <c r="W184" s="140">
        <f>($C184*Factores!$J$4*1000*Factores!V$4-Formato!$E184*Factores!$J$5*1000*Factores!V$5)/1000000</f>
        <v>5.1964316606361499E-2</v>
      </c>
      <c r="X184" s="140">
        <f>($C184*Factores!$J$4*1000*Factores!W$4-Formato!$E184*Factores!$J$5*1000*Factores!W$5)/1000000</f>
        <v>1.0719247310430047</v>
      </c>
      <c r="Y184" s="140">
        <f>($C184*Factores!$J$4*1000*Factores!X$4-Formato!$E184*Factores!$J$5*1000*Factores!X$5)/1000000</f>
        <v>1.9457086573399531E-2</v>
      </c>
      <c r="Z184" s="140">
        <f>($C184*Factores!$J$4*1000*Factores!Y$4-Formato!$E184*Factores!$J$5*1000*Factores!Y$5)/1000000</f>
        <v>1.3586580864166951</v>
      </c>
      <c r="AA184" s="140">
        <f>($C184*Factores!$J$4*1000*Factores!Z$4-Formato!$E184*Factores!$J$5*1000*Factores!Z$5)/1000000</f>
        <v>1.3228807193741503</v>
      </c>
      <c r="AB184" s="140">
        <f>($C184*Factores!$J$4*1000*Factores!AA$4-Formato!$E184*Factores!$J$5*1000*Factores!AA$5)/1000000</f>
        <v>0.13232863755261504</v>
      </c>
    </row>
    <row r="185" spans="2:30" ht="15" customHeight="1" x14ac:dyDescent="0.2">
      <c r="B185" s="97" t="s">
        <v>73</v>
      </c>
      <c r="C185" s="138">
        <f>E185*Factores!$I$14</f>
        <v>212.1697317724439</v>
      </c>
      <c r="D185" s="97" t="s">
        <v>88</v>
      </c>
      <c r="E185" s="138">
        <f t="shared" si="14"/>
        <v>28.746666666666663</v>
      </c>
      <c r="F185" s="139">
        <f>[1]Hoja1!B20/3</f>
        <v>2874.6666666666665</v>
      </c>
      <c r="G185" s="101" t="s">
        <v>131</v>
      </c>
      <c r="H185" s="97">
        <v>2012</v>
      </c>
      <c r="I185" s="101" t="s">
        <v>236</v>
      </c>
      <c r="J185" s="104">
        <v>43847</v>
      </c>
      <c r="K185" s="97" t="s">
        <v>197</v>
      </c>
      <c r="L185" s="112"/>
      <c r="M185" s="112"/>
      <c r="N185" s="140">
        <f>((C185*((Factores!$D$6*Factores!$L$4)+Factores!$N$4*Factores!$L$20+Factores!$P$4*Factores!$L$21)*Factores!$J$4)-(E185*(Factores!$L$5+Factores!$N$5*Factores!$L$20+Factores!$P$5*Factores!$L$21)*Factores!$J$5))</f>
        <v>103.11732251095546</v>
      </c>
      <c r="O185" s="106">
        <f>C185*Factores!$J$4*(Factores!$L$4*Factores!$D$6+Factores!$N$4*Factores!$L$20+Factores!$P$4*Factores!$L$21)</f>
        <v>188.99231027362214</v>
      </c>
      <c r="P185" s="106">
        <f>E185*Factores!$J$5*(Factores!$L$5+Factores!$N$5*Factores!$L$20+Factores!$P$5*Factores!$L$21)</f>
        <v>85.874987762666663</v>
      </c>
      <c r="Q185" s="141">
        <f t="shared" si="16"/>
        <v>103.11732251095547</v>
      </c>
      <c r="R185" s="106">
        <f t="shared" si="13"/>
        <v>0</v>
      </c>
      <c r="V185" s="140">
        <f>($C185*Factores!$J$4*1000*Factores!U$4-Formato!$E185*Factores!$J$5*1000*Factores!U$5)/1000000</f>
        <v>13.20403861193383</v>
      </c>
      <c r="W185" s="140">
        <f>($C185*Factores!$J$4*1000*Factores!V$4-Formato!$E185*Factores!$J$5*1000*Factores!V$5)/1000000</f>
        <v>9.6146806782506228E-2</v>
      </c>
      <c r="X185" s="140">
        <f>($C185*Factores!$J$4*1000*Factores!W$4-Formato!$E185*Factores!$J$5*1000*Factores!W$5)/1000000</f>
        <v>1.9833252264567414</v>
      </c>
      <c r="Y185" s="140">
        <f>($C185*Factores!$J$4*1000*Factores!X$4-Formato!$E185*Factores!$J$5*1000*Factores!X$5)/1000000</f>
        <v>3.6000410772151367E-2</v>
      </c>
      <c r="Z185" s="140">
        <f>($C185*Factores!$J$4*1000*Factores!Y$4-Formato!$E185*Factores!$J$5*1000*Factores!Y$5)/1000000</f>
        <v>2.5138526790940943</v>
      </c>
      <c r="AA185" s="140">
        <f>($C185*Factores!$J$4*1000*Factores!Z$4-Formato!$E185*Factores!$J$5*1000*Factores!Z$5)/1000000</f>
        <v>2.447655722781092</v>
      </c>
      <c r="AB185" s="140">
        <f>($C185*Factores!$J$4*1000*Factores!AA$4-Formato!$E185*Factores!$J$5*1000*Factores!AA$5)/1000000</f>
        <v>0.24484062867490924</v>
      </c>
    </row>
    <row r="186" spans="2:30" ht="15" customHeight="1" x14ac:dyDescent="0.2">
      <c r="B186" s="97" t="s">
        <v>73</v>
      </c>
      <c r="C186" s="138">
        <f>E186*Factores!$I$14</f>
        <v>970.68144330725579</v>
      </c>
      <c r="D186" s="97" t="s">
        <v>88</v>
      </c>
      <c r="E186" s="138">
        <f t="shared" si="14"/>
        <v>131.51666666666665</v>
      </c>
      <c r="F186" s="139">
        <f>[1]Hoja1!B21/3</f>
        <v>13151.666666666666</v>
      </c>
      <c r="G186" s="101" t="s">
        <v>131</v>
      </c>
      <c r="H186" s="97">
        <v>2012</v>
      </c>
      <c r="I186" s="101" t="s">
        <v>237</v>
      </c>
      <c r="J186" s="104">
        <v>43847</v>
      </c>
      <c r="K186" s="97" t="s">
        <v>197</v>
      </c>
      <c r="L186" s="112"/>
      <c r="M186" s="112"/>
      <c r="N186" s="140">
        <f>((C186*((Factores!$D$6*Factores!$L$4)+Factores!$N$4*Factores!$L$20+Factores!$P$4*Factores!$L$21)*Factores!$J$4)-(E186*(Factores!$L$5+Factores!$N$5*Factores!$L$20+Factores!$P$5*Factores!$L$21)*Factores!$J$5))</f>
        <v>471.76414189120453</v>
      </c>
      <c r="O186" s="106">
        <f>C186*Factores!$J$4*(Factores!$L$4*Factores!$D$6+Factores!$N$4*Factores!$L$20+Factores!$P$4*Factores!$L$21)</f>
        <v>864.64420244037115</v>
      </c>
      <c r="P186" s="106">
        <f>E186*Factores!$J$5*(Factores!$L$5+Factores!$N$5*Factores!$L$20+Factores!$P$5*Factores!$L$21)</f>
        <v>392.88006054916667</v>
      </c>
      <c r="Q186" s="141">
        <f t="shared" si="16"/>
        <v>471.76414189120447</v>
      </c>
      <c r="R186" s="106">
        <f t="shared" si="13"/>
        <v>0</v>
      </c>
      <c r="V186" s="140">
        <f>($C186*Factores!$J$4*1000*Factores!U$4-Formato!$E186*Factores!$J$5*1000*Factores!U$5)/1000000</f>
        <v>60.408782865706094</v>
      </c>
      <c r="W186" s="140">
        <f>($C186*Factores!$J$4*1000*Factores!V$4-Formato!$E186*Factores!$J$5*1000*Factores!V$5)/1000000</f>
        <v>0.4398738707796595</v>
      </c>
      <c r="X186" s="140">
        <f>($C186*Factores!$J$4*1000*Factores!W$4-Formato!$E186*Factores!$J$5*1000*Factores!W$5)/1000000</f>
        <v>9.0737589065225812</v>
      </c>
      <c r="Y186" s="140">
        <f>($C186*Factores!$J$4*1000*Factores!X$4-Formato!$E186*Factores!$J$5*1000*Factores!X$5)/1000000</f>
        <v>0.16470271417152507</v>
      </c>
      <c r="Z186" s="140">
        <f>($C186*Factores!$J$4*1000*Factores!Y$4-Formato!$E186*Factores!$J$5*1000*Factores!Y$5)/1000000</f>
        <v>11.500934305850825</v>
      </c>
      <c r="AA186" s="140">
        <f>($C186*Factores!$J$4*1000*Factores!Z$4-Formato!$E186*Factores!$J$5*1000*Factores!Z$5)/1000000</f>
        <v>11.19808169553896</v>
      </c>
      <c r="AB186" s="140">
        <f>($C186*Factores!$J$4*1000*Factores!AA$4-Formato!$E186*Factores!$J$5*1000*Factores!AA$5)/1000000</f>
        <v>1.1201515543098959</v>
      </c>
    </row>
    <row r="187" spans="2:30" x14ac:dyDescent="0.2">
      <c r="B187" s="97" t="s">
        <v>73</v>
      </c>
      <c r="C187" s="138">
        <f>E187*Factores!$I$14</f>
        <v>0</v>
      </c>
      <c r="D187" s="97" t="s">
        <v>88</v>
      </c>
      <c r="E187" s="138">
        <f t="shared" si="14"/>
        <v>0</v>
      </c>
      <c r="F187" s="139">
        <f>[1]Hoja1!B10/3</f>
        <v>0</v>
      </c>
      <c r="G187" s="101" t="s">
        <v>132</v>
      </c>
      <c r="H187" s="97">
        <v>2012</v>
      </c>
      <c r="I187" s="101" t="s">
        <v>226</v>
      </c>
      <c r="J187" s="104">
        <v>43847</v>
      </c>
      <c r="K187" s="97" t="s">
        <v>197</v>
      </c>
      <c r="L187" s="112"/>
      <c r="M187" s="112"/>
      <c r="N187" s="140">
        <f>((C187*((Factores!$E$6*Factores!$L$4)+Factores!$N$4*Factores!$L$20+Factores!$P$4*Factores!$L$21)*Factores!$J$4)-(E187*(Factores!$L$5+Factores!$N$5*Factores!$L$20+Factores!$P$5*Factores!$L$21)*Factores!$J$5))</f>
        <v>0</v>
      </c>
      <c r="O187" s="106">
        <f>C187*Factores!$J$4*(Factores!$L$4*Factores!$E$6+Factores!$N$4*Factores!$L$20+Factores!$P$4*Factores!$L$21)</f>
        <v>0</v>
      </c>
      <c r="P187" s="106">
        <f>E187*Factores!$J$5*(Factores!$L$5+Factores!$N$5*Factores!$L$20+Factores!$P$5*Factores!$L$21)</f>
        <v>0</v>
      </c>
      <c r="Q187" s="141">
        <f t="shared" si="16"/>
        <v>0</v>
      </c>
      <c r="R187" s="106">
        <f t="shared" si="13"/>
        <v>0</v>
      </c>
      <c r="V187" s="140">
        <f>($C187*Factores!$J$4*1000*Factores!U$4-Formato!$E187*Factores!$J$5*1000*Factores!U$5)/1000000</f>
        <v>0</v>
      </c>
      <c r="W187" s="140">
        <f>($C187*Factores!$J$4*1000*Factores!V$4-Formato!$E187*Factores!$J$5*1000*Factores!V$5)/1000000</f>
        <v>0</v>
      </c>
      <c r="X187" s="140">
        <f>($C187*Factores!$J$4*1000*Factores!W$4-Formato!$E187*Factores!$J$5*1000*Factores!W$5)/1000000</f>
        <v>0</v>
      </c>
      <c r="Y187" s="140">
        <f>($C187*Factores!$J$4*1000*Factores!X$4-Formato!$E187*Factores!$J$5*1000*Factores!X$5)/1000000</f>
        <v>0</v>
      </c>
      <c r="Z187" s="140">
        <f>($C187*Factores!$J$4*1000*Factores!Y$4-Formato!$E187*Factores!$J$5*1000*Factores!Y$5)/1000000</f>
        <v>0</v>
      </c>
      <c r="AA187" s="140">
        <f>($C187*Factores!$J$4*1000*Factores!Z$4-Formato!$E187*Factores!$J$5*1000*Factores!Z$5)/1000000</f>
        <v>0</v>
      </c>
      <c r="AB187" s="140">
        <f>($C187*Factores!$J$4*1000*Factores!AA$4-Formato!$E187*Factores!$J$5*1000*Factores!AA$5)/1000000</f>
        <v>0</v>
      </c>
    </row>
    <row r="188" spans="2:30" x14ac:dyDescent="0.2">
      <c r="B188" s="97" t="s">
        <v>73</v>
      </c>
      <c r="C188" s="138">
        <f>E188*Factores!$I$14</f>
        <v>0</v>
      </c>
      <c r="D188" s="97" t="s">
        <v>88</v>
      </c>
      <c r="E188" s="138">
        <f t="shared" si="14"/>
        <v>0</v>
      </c>
      <c r="F188" s="139">
        <f>[1]Hoja1!B11/3</f>
        <v>0</v>
      </c>
      <c r="G188" s="101" t="s">
        <v>132</v>
      </c>
      <c r="H188" s="97">
        <v>2012</v>
      </c>
      <c r="I188" s="101" t="s">
        <v>227</v>
      </c>
      <c r="J188" s="104">
        <v>43847</v>
      </c>
      <c r="K188" s="97" t="s">
        <v>197</v>
      </c>
      <c r="L188" s="112"/>
      <c r="M188" s="112"/>
      <c r="N188" s="140">
        <f>((C188*((Factores!$E$6*Factores!$L$4)+Factores!$N$4*Factores!$L$20+Factores!$P$4*Factores!$L$21)*Factores!$J$4)-(E188*(Factores!$L$5+Factores!$N$5*Factores!$L$20+Factores!$P$5*Factores!$L$21)*Factores!$J$5))</f>
        <v>0</v>
      </c>
      <c r="O188" s="106">
        <f>C188*Factores!$J$4*(Factores!$L$4*Factores!$E$6+Factores!$N$4*Factores!$L$20+Factores!$P$4*Factores!$L$21)</f>
        <v>0</v>
      </c>
      <c r="P188" s="106">
        <f>E188*Factores!$J$5*(Factores!$L$5+Factores!$N$5*Factores!$L$20+Factores!$P$5*Factores!$L$21)</f>
        <v>0</v>
      </c>
      <c r="Q188" s="141">
        <f t="shared" ref="Q188:Q197" si="17">O188-P188</f>
        <v>0</v>
      </c>
      <c r="R188" s="106">
        <f t="shared" si="13"/>
        <v>0</v>
      </c>
      <c r="V188" s="140">
        <f>($C188*Factores!$J$4*1000*Factores!U$4-Formato!$E188*Factores!$J$5*1000*Factores!U$5)/1000000</f>
        <v>0</v>
      </c>
      <c r="W188" s="140">
        <f>($C188*Factores!$J$4*1000*Factores!V$4-Formato!$E188*Factores!$J$5*1000*Factores!V$5)/1000000</f>
        <v>0</v>
      </c>
      <c r="X188" s="140">
        <f>($C188*Factores!$J$4*1000*Factores!W$4-Formato!$E188*Factores!$J$5*1000*Factores!W$5)/1000000</f>
        <v>0</v>
      </c>
      <c r="Y188" s="140">
        <f>($C188*Factores!$J$4*1000*Factores!X$4-Formato!$E188*Factores!$J$5*1000*Factores!X$5)/1000000</f>
        <v>0</v>
      </c>
      <c r="Z188" s="140">
        <f>($C188*Factores!$J$4*1000*Factores!Y$4-Formato!$E188*Factores!$J$5*1000*Factores!Y$5)/1000000</f>
        <v>0</v>
      </c>
      <c r="AA188" s="140">
        <f>($C188*Factores!$J$4*1000*Factores!Z$4-Formato!$E188*Factores!$J$5*1000*Factores!Z$5)/1000000</f>
        <v>0</v>
      </c>
      <c r="AB188" s="140">
        <f>($C188*Factores!$J$4*1000*Factores!AA$4-Formato!$E188*Factores!$J$5*1000*Factores!AA$5)/1000000</f>
        <v>0</v>
      </c>
    </row>
    <row r="189" spans="2:30" x14ac:dyDescent="0.2">
      <c r="B189" s="97" t="s">
        <v>73</v>
      </c>
      <c r="C189" s="138">
        <f>E189*Factores!$I$14</f>
        <v>0</v>
      </c>
      <c r="D189" s="97" t="s">
        <v>88</v>
      </c>
      <c r="E189" s="138">
        <f t="shared" si="14"/>
        <v>0</v>
      </c>
      <c r="F189" s="139">
        <f>[1]Hoja1!B12/3</f>
        <v>0</v>
      </c>
      <c r="G189" s="101" t="s">
        <v>132</v>
      </c>
      <c r="H189" s="97">
        <v>2012</v>
      </c>
      <c r="I189" s="101" t="s">
        <v>228</v>
      </c>
      <c r="J189" s="104">
        <v>43847</v>
      </c>
      <c r="K189" s="97" t="s">
        <v>197</v>
      </c>
      <c r="L189" s="112"/>
      <c r="M189" s="112"/>
      <c r="N189" s="140">
        <f>((C189*((Factores!$E$6*Factores!$L$4)+Factores!$N$4*Factores!$L$20+Factores!$P$4*Factores!$L$21)*Factores!$J$4)-(E189*(Factores!$L$5+Factores!$N$5*Factores!$L$20+Factores!$P$5*Factores!$L$21)*Factores!$J$5))</f>
        <v>0</v>
      </c>
      <c r="O189" s="106">
        <f>C189*Factores!$J$4*(Factores!$L$4*Factores!$E$6+Factores!$N$4*Factores!$L$20+Factores!$P$4*Factores!$L$21)</f>
        <v>0</v>
      </c>
      <c r="P189" s="106">
        <f>E189*Factores!$J$5*(Factores!$L$5+Factores!$N$5*Factores!$L$20+Factores!$P$5*Factores!$L$21)</f>
        <v>0</v>
      </c>
      <c r="Q189" s="141">
        <f t="shared" si="17"/>
        <v>0</v>
      </c>
      <c r="R189" s="106">
        <f t="shared" si="13"/>
        <v>0</v>
      </c>
      <c r="V189" s="140">
        <f>($C189*Factores!$J$4*1000*Factores!U$4-Formato!$E189*Factores!$J$5*1000*Factores!U$5)/1000000</f>
        <v>0</v>
      </c>
      <c r="W189" s="140">
        <f>($C189*Factores!$J$4*1000*Factores!V$4-Formato!$E189*Factores!$J$5*1000*Factores!V$5)/1000000</f>
        <v>0</v>
      </c>
      <c r="X189" s="140">
        <f>($C189*Factores!$J$4*1000*Factores!W$4-Formato!$E189*Factores!$J$5*1000*Factores!W$5)/1000000</f>
        <v>0</v>
      </c>
      <c r="Y189" s="140">
        <f>($C189*Factores!$J$4*1000*Factores!X$4-Formato!$E189*Factores!$J$5*1000*Factores!X$5)/1000000</f>
        <v>0</v>
      </c>
      <c r="Z189" s="140">
        <f>($C189*Factores!$J$4*1000*Factores!Y$4-Formato!$E189*Factores!$J$5*1000*Factores!Y$5)/1000000</f>
        <v>0</v>
      </c>
      <c r="AA189" s="140">
        <f>($C189*Factores!$J$4*1000*Factores!Z$4-Formato!$E189*Factores!$J$5*1000*Factores!Z$5)/1000000</f>
        <v>0</v>
      </c>
      <c r="AB189" s="140">
        <f>($C189*Factores!$J$4*1000*Factores!AA$4-Formato!$E189*Factores!$J$5*1000*Factores!AA$5)/1000000</f>
        <v>0</v>
      </c>
    </row>
    <row r="190" spans="2:30" x14ac:dyDescent="0.2">
      <c r="B190" s="97" t="s">
        <v>73</v>
      </c>
      <c r="C190" s="138">
        <f>E190*Factores!$I$14</f>
        <v>0</v>
      </c>
      <c r="D190" s="97" t="s">
        <v>88</v>
      </c>
      <c r="E190" s="138">
        <f t="shared" si="14"/>
        <v>0</v>
      </c>
      <c r="F190" s="139">
        <f>[1]Hoja1!B13/3</f>
        <v>0</v>
      </c>
      <c r="G190" s="101" t="s">
        <v>132</v>
      </c>
      <c r="H190" s="97">
        <v>2012</v>
      </c>
      <c r="I190" s="101" t="s">
        <v>229</v>
      </c>
      <c r="J190" s="104">
        <v>43847</v>
      </c>
      <c r="K190" s="97" t="s">
        <v>197</v>
      </c>
      <c r="L190" s="112"/>
      <c r="M190" s="112"/>
      <c r="N190" s="140">
        <f>((C190*((Factores!$E$6*Factores!$L$4)+Factores!$N$4*Factores!$L$20+Factores!$P$4*Factores!$L$21)*Factores!$J$4)-(E190*(Factores!$L$5+Factores!$N$5*Factores!$L$20+Factores!$P$5*Factores!$L$21)*Factores!$J$5))</f>
        <v>0</v>
      </c>
      <c r="O190" s="106">
        <f>C190*Factores!$J$4*(Factores!$L$4*Factores!$E$6+Factores!$N$4*Factores!$L$20+Factores!$P$4*Factores!$L$21)</f>
        <v>0</v>
      </c>
      <c r="P190" s="106">
        <f>E190*Factores!$J$5*(Factores!$L$5+Factores!$N$5*Factores!$L$20+Factores!$P$5*Factores!$L$21)</f>
        <v>0</v>
      </c>
      <c r="Q190" s="141">
        <f t="shared" si="17"/>
        <v>0</v>
      </c>
      <c r="R190" s="106">
        <f t="shared" si="13"/>
        <v>0</v>
      </c>
      <c r="V190" s="140">
        <f>($C190*Factores!$J$4*1000*Factores!U$4-Formato!$E190*Factores!$J$5*1000*Factores!U$5)/1000000</f>
        <v>0</v>
      </c>
      <c r="W190" s="140">
        <f>($C190*Factores!$J$4*1000*Factores!V$4-Formato!$E190*Factores!$J$5*1000*Factores!V$5)/1000000</f>
        <v>0</v>
      </c>
      <c r="X190" s="140">
        <f>($C190*Factores!$J$4*1000*Factores!W$4-Formato!$E190*Factores!$J$5*1000*Factores!W$5)/1000000</f>
        <v>0</v>
      </c>
      <c r="Y190" s="140">
        <f>($C190*Factores!$J$4*1000*Factores!X$4-Formato!$E190*Factores!$J$5*1000*Factores!X$5)/1000000</f>
        <v>0</v>
      </c>
      <c r="Z190" s="140">
        <f>($C190*Factores!$J$4*1000*Factores!Y$4-Formato!$E190*Factores!$J$5*1000*Factores!Y$5)/1000000</f>
        <v>0</v>
      </c>
      <c r="AA190" s="140">
        <f>($C190*Factores!$J$4*1000*Factores!Z$4-Formato!$E190*Factores!$J$5*1000*Factores!Z$5)/1000000</f>
        <v>0</v>
      </c>
      <c r="AB190" s="140">
        <f>($C190*Factores!$J$4*1000*Factores!AA$4-Formato!$E190*Factores!$J$5*1000*Factores!AA$5)/1000000</f>
        <v>0</v>
      </c>
    </row>
    <row r="191" spans="2:30" x14ac:dyDescent="0.2">
      <c r="B191" s="97" t="s">
        <v>73</v>
      </c>
      <c r="C191" s="138">
        <f>E191*Factores!$I$14</f>
        <v>0</v>
      </c>
      <c r="D191" s="97" t="s">
        <v>88</v>
      </c>
      <c r="E191" s="138">
        <f t="shared" si="14"/>
        <v>0</v>
      </c>
      <c r="F191" s="139">
        <f>[1]Hoja1!B14/3</f>
        <v>0</v>
      </c>
      <c r="G191" s="101" t="s">
        <v>132</v>
      </c>
      <c r="H191" s="97">
        <v>2012</v>
      </c>
      <c r="I191" s="101" t="s">
        <v>230</v>
      </c>
      <c r="J191" s="104">
        <v>43847</v>
      </c>
      <c r="K191" s="97" t="s">
        <v>197</v>
      </c>
      <c r="L191" s="112"/>
      <c r="M191" s="112"/>
      <c r="N191" s="140">
        <f>((C191*((Factores!$E$6*Factores!$L$4)+Factores!$N$4*Factores!$L$20+Factores!$P$4*Factores!$L$21)*Factores!$J$4)-(E191*(Factores!$L$5+Factores!$N$5*Factores!$L$20+Factores!$P$5*Factores!$L$21)*Factores!$J$5))</f>
        <v>0</v>
      </c>
      <c r="O191" s="106">
        <f>C191*Factores!$J$4*(Factores!$L$4*Factores!$E$6+Factores!$N$4*Factores!$L$20+Factores!$P$4*Factores!$L$21)</f>
        <v>0</v>
      </c>
      <c r="P191" s="106">
        <f>E191*Factores!$J$5*(Factores!$L$5+Factores!$N$5*Factores!$L$20+Factores!$P$5*Factores!$L$21)</f>
        <v>0</v>
      </c>
      <c r="Q191" s="141">
        <f t="shared" si="17"/>
        <v>0</v>
      </c>
      <c r="R191" s="106">
        <f t="shared" si="13"/>
        <v>0</v>
      </c>
      <c r="V191" s="140">
        <f>($C191*Factores!$J$4*1000*Factores!U$4-Formato!$E191*Factores!$J$5*1000*Factores!U$5)/1000000</f>
        <v>0</v>
      </c>
      <c r="W191" s="140">
        <f>($C191*Factores!$J$4*1000*Factores!V$4-Formato!$E191*Factores!$J$5*1000*Factores!V$5)/1000000</f>
        <v>0</v>
      </c>
      <c r="X191" s="140">
        <f>($C191*Factores!$J$4*1000*Factores!W$4-Formato!$E191*Factores!$J$5*1000*Factores!W$5)/1000000</f>
        <v>0</v>
      </c>
      <c r="Y191" s="140">
        <f>($C191*Factores!$J$4*1000*Factores!X$4-Formato!$E191*Factores!$J$5*1000*Factores!X$5)/1000000</f>
        <v>0</v>
      </c>
      <c r="Z191" s="140">
        <f>($C191*Factores!$J$4*1000*Factores!Y$4-Formato!$E191*Factores!$J$5*1000*Factores!Y$5)/1000000</f>
        <v>0</v>
      </c>
      <c r="AA191" s="140">
        <f>($C191*Factores!$J$4*1000*Factores!Z$4-Formato!$E191*Factores!$J$5*1000*Factores!Z$5)/1000000</f>
        <v>0</v>
      </c>
      <c r="AB191" s="140">
        <f>($C191*Factores!$J$4*1000*Factores!AA$4-Formato!$E191*Factores!$J$5*1000*Factores!AA$5)/1000000</f>
        <v>0</v>
      </c>
    </row>
    <row r="192" spans="2:30" x14ac:dyDescent="0.2">
      <c r="B192" s="97" t="s">
        <v>73</v>
      </c>
      <c r="C192" s="138">
        <f>E192*Factores!$I$14</f>
        <v>0</v>
      </c>
      <c r="D192" s="97" t="s">
        <v>88</v>
      </c>
      <c r="E192" s="138">
        <f t="shared" si="14"/>
        <v>0</v>
      </c>
      <c r="F192" s="139">
        <f>[1]Hoja1!B15/3</f>
        <v>0</v>
      </c>
      <c r="G192" s="101" t="s">
        <v>132</v>
      </c>
      <c r="H192" s="97">
        <v>2012</v>
      </c>
      <c r="I192" s="101" t="s">
        <v>231</v>
      </c>
      <c r="J192" s="104">
        <v>43847</v>
      </c>
      <c r="K192" s="97" t="s">
        <v>197</v>
      </c>
      <c r="L192" s="112"/>
      <c r="M192" s="112"/>
      <c r="N192" s="140">
        <f>((C192*((Factores!$E$6*Factores!$L$4)+Factores!$N$4*Factores!$L$20+Factores!$P$4*Factores!$L$21)*Factores!$J$4)-(E192*(Factores!$L$5+Factores!$N$5*Factores!$L$20+Factores!$P$5*Factores!$L$21)*Factores!$J$5))</f>
        <v>0</v>
      </c>
      <c r="O192" s="106">
        <f>C192*Factores!$J$4*(Factores!$L$4*Factores!$E$6+Factores!$N$4*Factores!$L$20+Factores!$P$4*Factores!$L$21)</f>
        <v>0</v>
      </c>
      <c r="P192" s="106">
        <f>E192*Factores!$J$5*(Factores!$L$5+Factores!$N$5*Factores!$L$20+Factores!$P$5*Factores!$L$21)</f>
        <v>0</v>
      </c>
      <c r="Q192" s="141">
        <f t="shared" si="17"/>
        <v>0</v>
      </c>
      <c r="R192" s="106">
        <f t="shared" si="13"/>
        <v>0</v>
      </c>
      <c r="V192" s="140">
        <f>($C192*Factores!$J$4*1000*Factores!U$4-Formato!$E192*Factores!$J$5*1000*Factores!U$5)/1000000</f>
        <v>0</v>
      </c>
      <c r="W192" s="140">
        <f>($C192*Factores!$J$4*1000*Factores!V$4-Formato!$E192*Factores!$J$5*1000*Factores!V$5)/1000000</f>
        <v>0</v>
      </c>
      <c r="X192" s="140">
        <f>($C192*Factores!$J$4*1000*Factores!W$4-Formato!$E192*Factores!$J$5*1000*Factores!W$5)/1000000</f>
        <v>0</v>
      </c>
      <c r="Y192" s="140">
        <f>($C192*Factores!$J$4*1000*Factores!X$4-Formato!$E192*Factores!$J$5*1000*Factores!X$5)/1000000</f>
        <v>0</v>
      </c>
      <c r="Z192" s="140">
        <f>($C192*Factores!$J$4*1000*Factores!Y$4-Formato!$E192*Factores!$J$5*1000*Factores!Y$5)/1000000</f>
        <v>0</v>
      </c>
      <c r="AA192" s="140">
        <f>($C192*Factores!$J$4*1000*Factores!Z$4-Formato!$E192*Factores!$J$5*1000*Factores!Z$5)/1000000</f>
        <v>0</v>
      </c>
      <c r="AB192" s="140">
        <f>($C192*Factores!$J$4*1000*Factores!AA$4-Formato!$E192*Factores!$J$5*1000*Factores!AA$5)/1000000</f>
        <v>0</v>
      </c>
    </row>
    <row r="193" spans="2:28" x14ac:dyDescent="0.2">
      <c r="B193" s="97" t="s">
        <v>73</v>
      </c>
      <c r="C193" s="138">
        <f>E193*Factores!$I$14</f>
        <v>157.99559571459122</v>
      </c>
      <c r="D193" s="97" t="s">
        <v>88</v>
      </c>
      <c r="E193" s="138">
        <f t="shared" si="14"/>
        <v>21.406666666666663</v>
      </c>
      <c r="F193" s="139">
        <f>[1]Hoja1!B16/3</f>
        <v>2140.6666666666665</v>
      </c>
      <c r="G193" s="101" t="s">
        <v>132</v>
      </c>
      <c r="H193" s="97">
        <v>2012</v>
      </c>
      <c r="I193" s="101" t="s">
        <v>232</v>
      </c>
      <c r="J193" s="104">
        <v>43847</v>
      </c>
      <c r="K193" s="97" t="s">
        <v>197</v>
      </c>
      <c r="L193" s="112"/>
      <c r="M193" s="112"/>
      <c r="N193" s="140">
        <f>((C193*((Factores!$E$6*Factores!$L$4)+Factores!$N$4*Factores!$L$20+Factores!$P$4*Factores!$L$21)*Factores!$J$4)-(E193*(Factores!$L$5+Factores!$N$5*Factores!$L$20+Factores!$P$5*Factores!$L$21)*Factores!$J$5))</f>
        <v>43.661980479158572</v>
      </c>
      <c r="O193" s="106">
        <f>C193*Factores!$J$4*(Factores!$L$4*Factores!$E$6+Factores!$N$4*Factores!$L$20+Factores!$P$4*Factores!$L$21)</f>
        <v>107.61016825882523</v>
      </c>
      <c r="P193" s="106">
        <f>E193*Factores!$J$5*(Factores!$L$5+Factores!$N$5*Factores!$L$20+Factores!$P$5*Factores!$L$21)</f>
        <v>63.948187779666654</v>
      </c>
      <c r="Q193" s="141">
        <f t="shared" si="17"/>
        <v>43.661980479158572</v>
      </c>
      <c r="R193" s="106">
        <f t="shared" si="13"/>
        <v>0</v>
      </c>
      <c r="V193" s="140">
        <f>($C193*Factores!$J$4*1000*Factores!U$4-Formato!$E193*Factores!$J$5*1000*Factores!U$5)/1000000</f>
        <v>9.8325992539238261</v>
      </c>
      <c r="W193" s="140">
        <f>($C193*Factores!$J$4*1000*Factores!V$4-Formato!$E193*Factores!$J$5*1000*Factores!V$5)/1000000</f>
        <v>7.1597262657381158E-2</v>
      </c>
      <c r="X193" s="140">
        <f>($C193*Factores!$J$4*1000*Factores!W$4-Formato!$E193*Factores!$J$5*1000*Factores!W$5)/1000000</f>
        <v>1.4769149587552406</v>
      </c>
      <c r="Y193" s="140">
        <f>($C193*Factores!$J$4*1000*Factores!X$4-Formato!$E193*Factores!$J$5*1000*Factores!X$5)/1000000</f>
        <v>2.6808283624623851E-2</v>
      </c>
      <c r="Z193" s="140">
        <f>($C193*Factores!$J$4*1000*Factores!Y$4-Formato!$E193*Factores!$J$5*1000*Factores!Y$5)/1000000</f>
        <v>1.8719807403921938</v>
      </c>
      <c r="AA193" s="140">
        <f>($C193*Factores!$J$4*1000*Factores!Z$4-Formato!$E193*Factores!$J$5*1000*Factores!Z$5)/1000000</f>
        <v>1.822686114529241</v>
      </c>
      <c r="AB193" s="140">
        <f>($C193*Factores!$J$4*1000*Factores!AA$4-Formato!$E193*Factores!$J$5*1000*Factores!AA$5)/1000000</f>
        <v>0.18232450340332412</v>
      </c>
    </row>
    <row r="194" spans="2:28" x14ac:dyDescent="0.2">
      <c r="B194" s="97" t="s">
        <v>73</v>
      </c>
      <c r="C194" s="138">
        <f>E194*Factores!$I$14</f>
        <v>186.28817358313373</v>
      </c>
      <c r="D194" s="97" t="s">
        <v>88</v>
      </c>
      <c r="E194" s="138">
        <f t="shared" si="14"/>
        <v>25.24</v>
      </c>
      <c r="F194" s="139">
        <f>[1]Hoja1!B17/3</f>
        <v>2524</v>
      </c>
      <c r="G194" s="101" t="s">
        <v>132</v>
      </c>
      <c r="H194" s="97">
        <v>2012</v>
      </c>
      <c r="I194" s="101" t="s">
        <v>233</v>
      </c>
      <c r="J194" s="104">
        <v>43847</v>
      </c>
      <c r="K194" s="97" t="s">
        <v>197</v>
      </c>
      <c r="L194" s="112"/>
      <c r="M194" s="112"/>
      <c r="N194" s="140">
        <f>((C194*((Factores!$E$6*Factores!$L$4)+Factores!$N$4*Factores!$L$20+Factores!$P$4*Factores!$L$21)*Factores!$J$4)-(E194*(Factores!$L$5+Factores!$N$5*Factores!$L$20+Factores!$P$5*Factores!$L$21)*Factores!$J$5))</f>
        <v>51.480616036778045</v>
      </c>
      <c r="O194" s="106">
        <f>C194*Factores!$J$4*(Factores!$L$4*Factores!$E$6+Factores!$N$4*Factores!$L$20+Factores!$P$4*Factores!$L$21)</f>
        <v>126.88012987477805</v>
      </c>
      <c r="P194" s="106">
        <f>E194*Factores!$J$5*(Factores!$L$5+Factores!$N$5*Factores!$L$20+Factores!$P$5*Factores!$L$21)</f>
        <v>75.39951383799999</v>
      </c>
      <c r="Q194" s="141">
        <f t="shared" si="17"/>
        <v>51.480616036778059</v>
      </c>
      <c r="R194" s="106">
        <f t="shared" si="13"/>
        <v>0</v>
      </c>
      <c r="V194" s="140">
        <f>($C194*Factores!$J$4*1000*Factores!U$4-Formato!$E194*Factores!$J$5*1000*Factores!U$5)/1000000</f>
        <v>11.593341879587543</v>
      </c>
      <c r="W194" s="140">
        <f>($C194*Factores!$J$4*1000*Factores!V$4-Formato!$E194*Factores!$J$5*1000*Factores!V$5)/1000000</f>
        <v>8.4418323394844313E-2</v>
      </c>
      <c r="X194" s="140">
        <f>($C194*Factores!$J$4*1000*Factores!W$4-Formato!$E194*Factores!$J$5*1000*Factores!W$5)/1000000</f>
        <v>1.7413889859381315</v>
      </c>
      <c r="Y194" s="140">
        <f>($C194*Factores!$J$4*1000*Factores!X$4-Formato!$E194*Factores!$J$5*1000*Factores!X$5)/1000000</f>
        <v>3.1608894986865747E-2</v>
      </c>
      <c r="Z194" s="140">
        <f>($C194*Factores!$J$4*1000*Factores!Y$4-Formato!$E194*Factores!$J$5*1000*Factores!Y$5)/1000000</f>
        <v>2.2071999636016328</v>
      </c>
      <c r="AA194" s="140">
        <f>($C194*Factores!$J$4*1000*Factores!Z$4-Formato!$E194*Factores!$J$5*1000*Factores!Z$5)/1000000</f>
        <v>2.1490780534436955</v>
      </c>
      <c r="AB194" s="140">
        <f>($C194*Factores!$J$4*1000*Factores!AA$4-Formato!$E194*Factores!$J$5*1000*Factores!AA$5)/1000000</f>
        <v>0.21497370597476959</v>
      </c>
    </row>
    <row r="195" spans="2:28" x14ac:dyDescent="0.2">
      <c r="B195" s="97" t="s">
        <v>73</v>
      </c>
      <c r="C195" s="138">
        <f>E195*Factores!$I$14</f>
        <v>129.23557525517717</v>
      </c>
      <c r="D195" s="97" t="s">
        <v>88</v>
      </c>
      <c r="E195" s="138">
        <f t="shared" si="14"/>
        <v>17.510000000000002</v>
      </c>
      <c r="F195" s="139">
        <f>[1]Hoja1!B18/3</f>
        <v>1751</v>
      </c>
      <c r="G195" s="101" t="s">
        <v>132</v>
      </c>
      <c r="H195" s="97">
        <v>2012</v>
      </c>
      <c r="I195" s="101" t="s">
        <v>234</v>
      </c>
      <c r="J195" s="104">
        <v>43847</v>
      </c>
      <c r="K195" s="97" t="s">
        <v>197</v>
      </c>
      <c r="L195" s="112"/>
      <c r="M195" s="112"/>
      <c r="N195" s="140">
        <f>((C195*((Factores!$E$6*Factores!$L$4)+Factores!$N$4*Factores!$L$20+Factores!$P$4*Factores!$L$21)*Factores!$J$4)-(E195*(Factores!$L$5+Factores!$N$5*Factores!$L$20+Factores!$P$5*Factores!$L$21)*Factores!$J$5))</f>
        <v>35.71416746450015</v>
      </c>
      <c r="O195" s="106">
        <f>C195*Factores!$J$4*(Factores!$L$4*Factores!$E$6+Factores!$N$4*Factores!$L$20+Factores!$P$4*Factores!$L$21)</f>
        <v>88.021833364000159</v>
      </c>
      <c r="P195" s="106">
        <f>E195*Factores!$J$5*(Factores!$L$5+Factores!$N$5*Factores!$L$20+Factores!$P$5*Factores!$L$21)</f>
        <v>52.307665899500009</v>
      </c>
      <c r="Q195" s="141">
        <f t="shared" si="17"/>
        <v>35.71416746450015</v>
      </c>
      <c r="R195" s="106">
        <f t="shared" si="13"/>
        <v>0</v>
      </c>
      <c r="V195" s="140">
        <f>($C195*Factores!$J$4*1000*Factores!U$4-Formato!$E195*Factores!$J$5*1000*Factores!U$5)/1000000</f>
        <v>8.0427660979230549</v>
      </c>
      <c r="W195" s="140">
        <f>($C195*Factores!$J$4*1000*Factores!V$4-Formato!$E195*Factores!$J$5*1000*Factores!V$5)/1000000</f>
        <v>5.8564375699038183E-2</v>
      </c>
      <c r="X195" s="140">
        <f>($C195*Factores!$J$4*1000*Factores!W$4-Formato!$E195*Factores!$J$5*1000*Factores!W$5)/1000000</f>
        <v>1.2080713606884581</v>
      </c>
      <c r="Y195" s="140">
        <f>($C195*Factores!$J$4*1000*Factores!X$4-Formato!$E195*Factores!$J$5*1000*Factores!X$5)/1000000</f>
        <v>2.1928357813788404E-2</v>
      </c>
      <c r="Z195" s="140">
        <f>($C195*Factores!$J$4*1000*Factores!Y$4-Formato!$E195*Factores!$J$5*1000*Factores!Y$5)/1000000</f>
        <v>1.5312231126253806</v>
      </c>
      <c r="AA195" s="140">
        <f>($C195*Factores!$J$4*1000*Factores!Z$4-Formato!$E195*Factores!$J$5*1000*Factores!Z$5)/1000000</f>
        <v>1.4909016131457651</v>
      </c>
      <c r="AB195" s="140">
        <f>($C195*Factores!$J$4*1000*Factores!AA$4-Formato!$E195*Factores!$J$5*1000*Factores!AA$5)/1000000</f>
        <v>0.14913587922417654</v>
      </c>
    </row>
    <row r="196" spans="2:28" x14ac:dyDescent="0.2">
      <c r="B196" s="97" t="s">
        <v>73</v>
      </c>
      <c r="C196" s="138">
        <f>E196*Factores!$I$14</f>
        <v>114.671048213284</v>
      </c>
      <c r="D196" s="97" t="s">
        <v>88</v>
      </c>
      <c r="E196" s="138">
        <f t="shared" si="14"/>
        <v>15.536666666666667</v>
      </c>
      <c r="F196" s="139">
        <f>[1]Hoja1!B19/3</f>
        <v>1553.6666666666667</v>
      </c>
      <c r="G196" s="101" t="s">
        <v>132</v>
      </c>
      <c r="H196" s="97">
        <v>2012</v>
      </c>
      <c r="I196" s="101" t="s">
        <v>235</v>
      </c>
      <c r="J196" s="104">
        <v>43847</v>
      </c>
      <c r="K196" s="97" t="s">
        <v>197</v>
      </c>
      <c r="L196" s="112"/>
      <c r="M196" s="112"/>
      <c r="N196" s="140">
        <f>((C196*((Factores!$E$6*Factores!$L$4)+Factores!$N$4*Factores!$L$20+Factores!$P$4*Factores!$L$21)*Factores!$J$4)-(E196*(Factores!$L$5+Factores!$N$5*Factores!$L$20+Factores!$P$5*Factores!$L$21)*Factores!$J$5))</f>
        <v>31.689269855708211</v>
      </c>
      <c r="O196" s="106">
        <f>C196*Factores!$J$4*(Factores!$L$4*Factores!$E$6+Factores!$N$4*Factores!$L$20+Factores!$P$4*Factores!$L$21)</f>
        <v>78.101992253874869</v>
      </c>
      <c r="P196" s="106">
        <f>E196*Factores!$J$5*(Factores!$L$5+Factores!$N$5*Factores!$L$20+Factores!$P$5*Factores!$L$21)</f>
        <v>46.412722398166672</v>
      </c>
      <c r="Q196" s="141">
        <f t="shared" si="17"/>
        <v>31.689269855708197</v>
      </c>
      <c r="R196" s="106">
        <f t="shared" si="13"/>
        <v>0</v>
      </c>
      <c r="V196" s="140">
        <f>($C196*Factores!$J$4*1000*Factores!U$4-Formato!$E196*Factores!$J$5*1000*Factores!U$5)/1000000</f>
        <v>7.1363664158422537</v>
      </c>
      <c r="W196" s="140">
        <f>($C196*Factores!$J$4*1000*Factores!V$4-Formato!$E196*Factores!$J$5*1000*Factores!V$5)/1000000</f>
        <v>5.1964316606361499E-2</v>
      </c>
      <c r="X196" s="140">
        <f>($C196*Factores!$J$4*1000*Factores!W$4-Formato!$E196*Factores!$J$5*1000*Factores!W$5)/1000000</f>
        <v>1.0719247310430047</v>
      </c>
      <c r="Y196" s="140">
        <f>($C196*Factores!$J$4*1000*Factores!X$4-Formato!$E196*Factores!$J$5*1000*Factores!X$5)/1000000</f>
        <v>1.9457086573399531E-2</v>
      </c>
      <c r="Z196" s="140">
        <f>($C196*Factores!$J$4*1000*Factores!Y$4-Formato!$E196*Factores!$J$5*1000*Factores!Y$5)/1000000</f>
        <v>1.3586580864166951</v>
      </c>
      <c r="AA196" s="140">
        <f>($C196*Factores!$J$4*1000*Factores!Z$4-Formato!$E196*Factores!$J$5*1000*Factores!Z$5)/1000000</f>
        <v>1.3228807193741503</v>
      </c>
      <c r="AB196" s="140">
        <f>($C196*Factores!$J$4*1000*Factores!AA$4-Formato!$E196*Factores!$J$5*1000*Factores!AA$5)/1000000</f>
        <v>0.13232863755261504</v>
      </c>
    </row>
    <row r="197" spans="2:28" x14ac:dyDescent="0.2">
      <c r="B197" s="97" t="s">
        <v>73</v>
      </c>
      <c r="C197" s="138">
        <f>E197*Factores!$I$14</f>
        <v>212.1697317724439</v>
      </c>
      <c r="D197" s="97" t="s">
        <v>88</v>
      </c>
      <c r="E197" s="138">
        <f t="shared" si="14"/>
        <v>28.746666666666663</v>
      </c>
      <c r="F197" s="139">
        <f>[1]Hoja1!B20/3</f>
        <v>2874.6666666666665</v>
      </c>
      <c r="G197" s="101" t="s">
        <v>132</v>
      </c>
      <c r="H197" s="97">
        <v>2012</v>
      </c>
      <c r="I197" s="101" t="s">
        <v>236</v>
      </c>
      <c r="J197" s="104">
        <v>43847</v>
      </c>
      <c r="K197" s="97" t="s">
        <v>197</v>
      </c>
      <c r="L197" s="112"/>
      <c r="M197" s="112"/>
      <c r="N197" s="140">
        <f>((C197*((Factores!$E$6*Factores!$L$4)+Factores!$N$4*Factores!$L$20+Factores!$P$4*Factores!$L$21)*Factores!$J$4)-(E197*(Factores!$L$5+Factores!$N$5*Factores!$L$20+Factores!$P$5*Factores!$L$21)*Factores!$J$5))</f>
        <v>58.632967868617811</v>
      </c>
      <c r="O197" s="106">
        <f>C197*Factores!$J$4*(Factores!$L$4*Factores!$E$6+Factores!$N$4*Factores!$L$20+Factores!$P$4*Factores!$L$21)</f>
        <v>144.50795563128446</v>
      </c>
      <c r="P197" s="106">
        <f>E197*Factores!$J$5*(Factores!$L$5+Factores!$N$5*Factores!$L$20+Factores!$P$5*Factores!$L$21)</f>
        <v>85.874987762666663</v>
      </c>
      <c r="Q197" s="141">
        <f t="shared" si="17"/>
        <v>58.632967868617797</v>
      </c>
      <c r="R197" s="106">
        <f t="shared" si="13"/>
        <v>0</v>
      </c>
      <c r="V197" s="140">
        <f>($C197*Factores!$J$4*1000*Factores!U$4-Formato!$E197*Factores!$J$5*1000*Factores!U$5)/1000000</f>
        <v>13.20403861193383</v>
      </c>
      <c r="W197" s="140">
        <f>($C197*Factores!$J$4*1000*Factores!V$4-Formato!$E197*Factores!$J$5*1000*Factores!V$5)/1000000</f>
        <v>9.6146806782506228E-2</v>
      </c>
      <c r="X197" s="140">
        <f>($C197*Factores!$J$4*1000*Factores!W$4-Formato!$E197*Factores!$J$5*1000*Factores!W$5)/1000000</f>
        <v>1.9833252264567414</v>
      </c>
      <c r="Y197" s="140">
        <f>($C197*Factores!$J$4*1000*Factores!X$4-Formato!$E197*Factores!$J$5*1000*Factores!X$5)/1000000</f>
        <v>3.6000410772151367E-2</v>
      </c>
      <c r="Z197" s="140">
        <f>($C197*Factores!$J$4*1000*Factores!Y$4-Formato!$E197*Factores!$J$5*1000*Factores!Y$5)/1000000</f>
        <v>2.5138526790940943</v>
      </c>
      <c r="AA197" s="140">
        <f>($C197*Factores!$J$4*1000*Factores!Z$4-Formato!$E197*Factores!$J$5*1000*Factores!Z$5)/1000000</f>
        <v>2.447655722781092</v>
      </c>
      <c r="AB197" s="140">
        <f>($C197*Factores!$J$4*1000*Factores!AA$4-Formato!$E197*Factores!$J$5*1000*Factores!AA$5)/1000000</f>
        <v>0.24484062867490924</v>
      </c>
    </row>
    <row r="198" spans="2:28" x14ac:dyDescent="0.2">
      <c r="B198" s="97" t="s">
        <v>73</v>
      </c>
      <c r="C198" s="138">
        <f>E198*Factores!$I$14</f>
        <v>970.68144330725579</v>
      </c>
      <c r="D198" s="97" t="s">
        <v>88</v>
      </c>
      <c r="E198" s="138">
        <f t="shared" si="14"/>
        <v>131.51666666666665</v>
      </c>
      <c r="F198" s="139">
        <f>[1]Hoja1!B21/3</f>
        <v>13151.666666666666</v>
      </c>
      <c r="G198" s="101" t="s">
        <v>132</v>
      </c>
      <c r="H198" s="97">
        <v>2012</v>
      </c>
      <c r="I198" s="101" t="s">
        <v>237</v>
      </c>
      <c r="J198" s="104">
        <v>43847</v>
      </c>
      <c r="K198" s="97" t="s">
        <v>197</v>
      </c>
      <c r="L198" s="112"/>
      <c r="M198" s="112"/>
      <c r="N198" s="140">
        <f>((C198*((Factores!$E$6*Factores!$L$4)+Factores!$N$4*Factores!$L$20+Factores!$P$4*Factores!$L$21)*Factores!$J$4)-(E198*(Factores!$L$5+Factores!$N$5*Factores!$L$20+Factores!$P$5*Factores!$L$21)*Factores!$J$5))</f>
        <v>268.24718776163206</v>
      </c>
      <c r="O198" s="106">
        <f>C198*Factores!$J$4*(Factores!$L$4*Factores!$E$6+Factores!$N$4*Factores!$L$20+Factores!$P$4*Factores!$L$21)</f>
        <v>661.12724831079868</v>
      </c>
      <c r="P198" s="106">
        <f>E198*Factores!$J$5*(Factores!$L$5+Factores!$N$5*Factores!$L$20+Factores!$P$5*Factores!$L$21)</f>
        <v>392.88006054916667</v>
      </c>
      <c r="Q198" s="141">
        <f t="shared" ref="Q198" si="18">O198-P198</f>
        <v>268.24718776163201</v>
      </c>
      <c r="R198" s="106">
        <f t="shared" si="13"/>
        <v>0</v>
      </c>
      <c r="V198" s="140">
        <f>($C198*Factores!$J$4*1000*Factores!U$4-Formato!$E198*Factores!$J$5*1000*Factores!U$5)/1000000</f>
        <v>60.408782865706094</v>
      </c>
      <c r="W198" s="140">
        <f>($C198*Factores!$J$4*1000*Factores!V$4-Formato!$E198*Factores!$J$5*1000*Factores!V$5)/1000000</f>
        <v>0.4398738707796595</v>
      </c>
      <c r="X198" s="140">
        <f>($C198*Factores!$J$4*1000*Factores!W$4-Formato!$E198*Factores!$J$5*1000*Factores!W$5)/1000000</f>
        <v>9.0737589065225812</v>
      </c>
      <c r="Y198" s="140">
        <f>($C198*Factores!$J$4*1000*Factores!X$4-Formato!$E198*Factores!$J$5*1000*Factores!X$5)/1000000</f>
        <v>0.16470271417152507</v>
      </c>
      <c r="Z198" s="140">
        <f>($C198*Factores!$J$4*1000*Factores!Y$4-Formato!$E198*Factores!$J$5*1000*Factores!Y$5)/1000000</f>
        <v>11.500934305850825</v>
      </c>
      <c r="AA198" s="140">
        <f>($C198*Factores!$J$4*1000*Factores!Z$4-Formato!$E198*Factores!$J$5*1000*Factores!Z$5)/1000000</f>
        <v>11.19808169553896</v>
      </c>
      <c r="AB198" s="140">
        <f>($C198*Factores!$J$4*1000*Factores!AA$4-Formato!$E198*Factores!$J$5*1000*Factores!AA$5)/1000000</f>
        <v>1.1201515543098959</v>
      </c>
    </row>
    <row r="199" spans="2:28" x14ac:dyDescent="0.2">
      <c r="B199" s="97" t="s">
        <v>73</v>
      </c>
      <c r="C199" s="138">
        <f>E199*Factores!$I$14</f>
        <v>0</v>
      </c>
      <c r="D199" s="97" t="s">
        <v>88</v>
      </c>
      <c r="E199" s="138">
        <f t="shared" si="14"/>
        <v>0</v>
      </c>
      <c r="F199" s="139">
        <f>[1]Hoja1!B10/3</f>
        <v>0</v>
      </c>
      <c r="G199" s="101" t="s">
        <v>133</v>
      </c>
      <c r="H199" s="97">
        <v>2012</v>
      </c>
      <c r="I199" s="101" t="s">
        <v>226</v>
      </c>
      <c r="J199" s="104">
        <v>43847</v>
      </c>
      <c r="K199" s="97" t="s">
        <v>197</v>
      </c>
      <c r="L199" s="112"/>
      <c r="M199" s="112"/>
      <c r="N199" s="140">
        <f>((C199*((Factores!$F$6*Factores!$L$4)+Factores!$N$4*Factores!$L$20+Factores!$P$4*Factores!$L$21)*Factores!$J$4)-(E199*(Factores!$L$5+Factores!$N$5*Factores!$L$20+Factores!$P$5*Factores!$L$21)*Factores!$J$5))</f>
        <v>0</v>
      </c>
      <c r="O199" s="106">
        <f>C199*Factores!$J$4*(Factores!$L$4*Factores!$F$6+Factores!$N$4*Factores!$L$20+Factores!$P$4*Factores!$L$21)</f>
        <v>0</v>
      </c>
      <c r="P199" s="106">
        <f>E199*Factores!$J$5*(Factores!$L$5+Factores!$N$5*Factores!$L$20+Factores!$P$5*Factores!$L$21)</f>
        <v>0</v>
      </c>
      <c r="Q199" s="141">
        <f t="shared" ref="Q199" si="19">O199-P199</f>
        <v>0</v>
      </c>
      <c r="R199" s="106">
        <f t="shared" si="13"/>
        <v>0</v>
      </c>
      <c r="V199" s="140">
        <f>($C199*Factores!$J$4*1000*Factores!U$4-Formato!$E199*Factores!$J$5*1000*Factores!U$5)/1000000</f>
        <v>0</v>
      </c>
      <c r="W199" s="140">
        <f>($C199*Factores!$J$4*1000*Factores!V$4-Formato!$E199*Factores!$J$5*1000*Factores!V$5)/1000000</f>
        <v>0</v>
      </c>
      <c r="X199" s="140">
        <f>($C199*Factores!$J$4*1000*Factores!W$4-Formato!$E199*Factores!$J$5*1000*Factores!W$5)/1000000</f>
        <v>0</v>
      </c>
      <c r="Y199" s="140">
        <f>($C199*Factores!$J$4*1000*Factores!X$4-Formato!$E199*Factores!$J$5*1000*Factores!X$5)/1000000</f>
        <v>0</v>
      </c>
      <c r="Z199" s="140">
        <f>($C199*Factores!$J$4*1000*Factores!Y$4-Formato!$E199*Factores!$J$5*1000*Factores!Y$5)/1000000</f>
        <v>0</v>
      </c>
      <c r="AA199" s="140">
        <f>($C199*Factores!$J$4*1000*Factores!Z$4-Formato!$E199*Factores!$J$5*1000*Factores!Z$5)/1000000</f>
        <v>0</v>
      </c>
      <c r="AB199" s="140">
        <f>($C199*Factores!$J$4*1000*Factores!AA$4-Formato!$E199*Factores!$J$5*1000*Factores!AA$5)/1000000</f>
        <v>0</v>
      </c>
    </row>
    <row r="200" spans="2:28" x14ac:dyDescent="0.2">
      <c r="B200" s="97" t="s">
        <v>73</v>
      </c>
      <c r="C200" s="138">
        <f>E200*Factores!$I$14</f>
        <v>0</v>
      </c>
      <c r="D200" s="97" t="s">
        <v>88</v>
      </c>
      <c r="E200" s="138">
        <f t="shared" si="14"/>
        <v>0</v>
      </c>
      <c r="F200" s="139">
        <f>[1]Hoja1!B11/3</f>
        <v>0</v>
      </c>
      <c r="G200" s="101" t="s">
        <v>133</v>
      </c>
      <c r="H200" s="97">
        <v>2012</v>
      </c>
      <c r="I200" s="101" t="s">
        <v>227</v>
      </c>
      <c r="J200" s="104">
        <v>43847</v>
      </c>
      <c r="K200" s="97" t="s">
        <v>197</v>
      </c>
      <c r="L200" s="112"/>
      <c r="M200" s="112"/>
      <c r="N200" s="140">
        <f>((C200*((Factores!$F$6*Factores!$L$4)+Factores!$N$4*Factores!$L$20+Factores!$P$4*Factores!$L$21)*Factores!$J$4)-(E200*(Factores!$L$5+Factores!$N$5*Factores!$L$20+Factores!$P$5*Factores!$L$21)*Factores!$J$5))</f>
        <v>0</v>
      </c>
      <c r="O200" s="106">
        <f>C200*Factores!$J$4*(Factores!$L$4*Factores!$F$6+Factores!$N$4*Factores!$L$20+Factores!$P$4*Factores!$L$21)</f>
        <v>0</v>
      </c>
      <c r="P200" s="106">
        <f>E200*Factores!$J$5*(Factores!$L$5+Factores!$N$5*Factores!$L$20+Factores!$P$5*Factores!$L$21)</f>
        <v>0</v>
      </c>
      <c r="Q200" s="141">
        <f t="shared" ref="Q200:Q210" si="20">O200-P200</f>
        <v>0</v>
      </c>
      <c r="R200" s="106">
        <f t="shared" si="13"/>
        <v>0</v>
      </c>
      <c r="V200" s="140">
        <f>($C200*Factores!$J$4*1000*Factores!U$4-Formato!$E200*Factores!$J$5*1000*Factores!U$5)/1000000</f>
        <v>0</v>
      </c>
      <c r="W200" s="140">
        <f>($C200*Factores!$J$4*1000*Factores!V$4-Formato!$E200*Factores!$J$5*1000*Factores!V$5)/1000000</f>
        <v>0</v>
      </c>
      <c r="X200" s="140">
        <f>($C200*Factores!$J$4*1000*Factores!W$4-Formato!$E200*Factores!$J$5*1000*Factores!W$5)/1000000</f>
        <v>0</v>
      </c>
      <c r="Y200" s="140">
        <f>($C200*Factores!$J$4*1000*Factores!X$4-Formato!$E200*Factores!$J$5*1000*Factores!X$5)/1000000</f>
        <v>0</v>
      </c>
      <c r="Z200" s="140">
        <f>($C200*Factores!$J$4*1000*Factores!Y$4-Formato!$E200*Factores!$J$5*1000*Factores!Y$5)/1000000</f>
        <v>0</v>
      </c>
      <c r="AA200" s="140">
        <f>($C200*Factores!$J$4*1000*Factores!Z$4-Formato!$E200*Factores!$J$5*1000*Factores!Z$5)/1000000</f>
        <v>0</v>
      </c>
      <c r="AB200" s="140">
        <f>($C200*Factores!$J$4*1000*Factores!AA$4-Formato!$E200*Factores!$J$5*1000*Factores!AA$5)/1000000</f>
        <v>0</v>
      </c>
    </row>
    <row r="201" spans="2:28" x14ac:dyDescent="0.2">
      <c r="B201" s="97" t="s">
        <v>73</v>
      </c>
      <c r="C201" s="138">
        <f>E201*Factores!$I$14</f>
        <v>0</v>
      </c>
      <c r="D201" s="97" t="s">
        <v>88</v>
      </c>
      <c r="E201" s="138">
        <f t="shared" si="14"/>
        <v>0</v>
      </c>
      <c r="F201" s="139">
        <f>[1]Hoja1!B12/3</f>
        <v>0</v>
      </c>
      <c r="G201" s="101" t="s">
        <v>133</v>
      </c>
      <c r="H201" s="97">
        <v>2012</v>
      </c>
      <c r="I201" s="101" t="s">
        <v>228</v>
      </c>
      <c r="J201" s="104">
        <v>43847</v>
      </c>
      <c r="K201" s="97" t="s">
        <v>197</v>
      </c>
      <c r="L201" s="112"/>
      <c r="M201" s="112"/>
      <c r="N201" s="140">
        <f>((C201*((Factores!$F$6*Factores!$L$4)+Factores!$N$4*Factores!$L$20+Factores!$P$4*Factores!$L$21)*Factores!$J$4)-(E201*(Factores!$L$5+Factores!$N$5*Factores!$L$20+Factores!$P$5*Factores!$L$21)*Factores!$J$5))</f>
        <v>0</v>
      </c>
      <c r="O201" s="106">
        <f>C201*Factores!$J$4*(Factores!$L$4*Factores!$F$6+Factores!$N$4*Factores!$L$20+Factores!$P$4*Factores!$L$21)</f>
        <v>0</v>
      </c>
      <c r="P201" s="106">
        <f>E201*Factores!$J$5*(Factores!$L$5+Factores!$N$5*Factores!$L$20+Factores!$P$5*Factores!$L$21)</f>
        <v>0</v>
      </c>
      <c r="Q201" s="141">
        <f t="shared" si="20"/>
        <v>0</v>
      </c>
      <c r="R201" s="106">
        <f t="shared" si="13"/>
        <v>0</v>
      </c>
      <c r="V201" s="140">
        <f>($C201*Factores!$J$4*1000*Factores!U$4-Formato!$E201*Factores!$J$5*1000*Factores!U$5)/1000000</f>
        <v>0</v>
      </c>
      <c r="W201" s="140">
        <f>($C201*Factores!$J$4*1000*Factores!V$4-Formato!$E201*Factores!$J$5*1000*Factores!V$5)/1000000</f>
        <v>0</v>
      </c>
      <c r="X201" s="140">
        <f>($C201*Factores!$J$4*1000*Factores!W$4-Formato!$E201*Factores!$J$5*1000*Factores!W$5)/1000000</f>
        <v>0</v>
      </c>
      <c r="Y201" s="140">
        <f>($C201*Factores!$J$4*1000*Factores!X$4-Formato!$E201*Factores!$J$5*1000*Factores!X$5)/1000000</f>
        <v>0</v>
      </c>
      <c r="Z201" s="140">
        <f>($C201*Factores!$J$4*1000*Factores!Y$4-Formato!$E201*Factores!$J$5*1000*Factores!Y$5)/1000000</f>
        <v>0</v>
      </c>
      <c r="AA201" s="140">
        <f>($C201*Factores!$J$4*1000*Factores!Z$4-Formato!$E201*Factores!$J$5*1000*Factores!Z$5)/1000000</f>
        <v>0</v>
      </c>
      <c r="AB201" s="140">
        <f>($C201*Factores!$J$4*1000*Factores!AA$4-Formato!$E201*Factores!$J$5*1000*Factores!AA$5)/1000000</f>
        <v>0</v>
      </c>
    </row>
    <row r="202" spans="2:28" x14ac:dyDescent="0.2">
      <c r="B202" s="97" t="s">
        <v>73</v>
      </c>
      <c r="C202" s="138">
        <f>E202*Factores!$I$14</f>
        <v>0</v>
      </c>
      <c r="D202" s="97" t="s">
        <v>88</v>
      </c>
      <c r="E202" s="138">
        <f t="shared" si="14"/>
        <v>0</v>
      </c>
      <c r="F202" s="139">
        <f>[1]Hoja1!B13/3</f>
        <v>0</v>
      </c>
      <c r="G202" s="101" t="s">
        <v>133</v>
      </c>
      <c r="H202" s="97">
        <v>2012</v>
      </c>
      <c r="I202" s="101" t="s">
        <v>229</v>
      </c>
      <c r="J202" s="104">
        <v>43847</v>
      </c>
      <c r="K202" s="97" t="s">
        <v>197</v>
      </c>
      <c r="L202" s="112"/>
      <c r="M202" s="112"/>
      <c r="N202" s="140">
        <f>((C202*((Factores!$F$6*Factores!$L$4)+Factores!$N$4*Factores!$L$20+Factores!$P$4*Factores!$L$21)*Factores!$J$4)-(E202*(Factores!$L$5+Factores!$N$5*Factores!$L$20+Factores!$P$5*Factores!$L$21)*Factores!$J$5))</f>
        <v>0</v>
      </c>
      <c r="O202" s="106">
        <f>C202*Factores!$J$4*(Factores!$L$4*Factores!$F$6+Factores!$N$4*Factores!$L$20+Factores!$P$4*Factores!$L$21)</f>
        <v>0</v>
      </c>
      <c r="P202" s="106">
        <f>E202*Factores!$J$5*(Factores!$L$5+Factores!$N$5*Factores!$L$20+Factores!$P$5*Factores!$L$21)</f>
        <v>0</v>
      </c>
      <c r="Q202" s="141">
        <f t="shared" si="20"/>
        <v>0</v>
      </c>
      <c r="R202" s="106">
        <f t="shared" si="13"/>
        <v>0</v>
      </c>
      <c r="V202" s="140">
        <f>($C202*Factores!$J$4*1000*Factores!U$4-Formato!$E202*Factores!$J$5*1000*Factores!U$5)/1000000</f>
        <v>0</v>
      </c>
      <c r="W202" s="140">
        <f>($C202*Factores!$J$4*1000*Factores!V$4-Formato!$E202*Factores!$J$5*1000*Factores!V$5)/1000000</f>
        <v>0</v>
      </c>
      <c r="X202" s="140">
        <f>($C202*Factores!$J$4*1000*Factores!W$4-Formato!$E202*Factores!$J$5*1000*Factores!W$5)/1000000</f>
        <v>0</v>
      </c>
      <c r="Y202" s="140">
        <f>($C202*Factores!$J$4*1000*Factores!X$4-Formato!$E202*Factores!$J$5*1000*Factores!X$5)/1000000</f>
        <v>0</v>
      </c>
      <c r="Z202" s="140">
        <f>($C202*Factores!$J$4*1000*Factores!Y$4-Formato!$E202*Factores!$J$5*1000*Factores!Y$5)/1000000</f>
        <v>0</v>
      </c>
      <c r="AA202" s="140">
        <f>($C202*Factores!$J$4*1000*Factores!Z$4-Formato!$E202*Factores!$J$5*1000*Factores!Z$5)/1000000</f>
        <v>0</v>
      </c>
      <c r="AB202" s="140">
        <f>($C202*Factores!$J$4*1000*Factores!AA$4-Formato!$E202*Factores!$J$5*1000*Factores!AA$5)/1000000</f>
        <v>0</v>
      </c>
    </row>
    <row r="203" spans="2:28" x14ac:dyDescent="0.2">
      <c r="B203" s="97" t="s">
        <v>73</v>
      </c>
      <c r="C203" s="138">
        <f>E203*Factores!$I$14</f>
        <v>0</v>
      </c>
      <c r="D203" s="97" t="s">
        <v>88</v>
      </c>
      <c r="E203" s="138">
        <f t="shared" si="14"/>
        <v>0</v>
      </c>
      <c r="F203" s="139">
        <f>[1]Hoja1!B14/3</f>
        <v>0</v>
      </c>
      <c r="G203" s="101" t="s">
        <v>133</v>
      </c>
      <c r="H203" s="97">
        <v>2012</v>
      </c>
      <c r="I203" s="101" t="s">
        <v>230</v>
      </c>
      <c r="J203" s="104">
        <v>43847</v>
      </c>
      <c r="K203" s="97" t="s">
        <v>197</v>
      </c>
      <c r="L203" s="112"/>
      <c r="M203" s="112"/>
      <c r="N203" s="140">
        <f>((C203*((Factores!$F$6*Factores!$L$4)+Factores!$N$4*Factores!$L$20+Factores!$P$4*Factores!$L$21)*Factores!$J$4)-(E203*(Factores!$L$5+Factores!$N$5*Factores!$L$20+Factores!$P$5*Factores!$L$21)*Factores!$J$5))</f>
        <v>0</v>
      </c>
      <c r="O203" s="106">
        <f>C203*Factores!$J$4*(Factores!$L$4*Factores!$F$6+Factores!$N$4*Factores!$L$20+Factores!$P$4*Factores!$L$21)</f>
        <v>0</v>
      </c>
      <c r="P203" s="106">
        <f>E203*Factores!$J$5*(Factores!$L$5+Factores!$N$5*Factores!$L$20+Factores!$P$5*Factores!$L$21)</f>
        <v>0</v>
      </c>
      <c r="Q203" s="141">
        <f t="shared" si="20"/>
        <v>0</v>
      </c>
      <c r="R203" s="106">
        <f t="shared" si="13"/>
        <v>0</v>
      </c>
      <c r="V203" s="140">
        <f>($C203*Factores!$J$4*1000*Factores!U$4-Formato!$E203*Factores!$J$5*1000*Factores!U$5)/1000000</f>
        <v>0</v>
      </c>
      <c r="W203" s="140">
        <f>($C203*Factores!$J$4*1000*Factores!V$4-Formato!$E203*Factores!$J$5*1000*Factores!V$5)/1000000</f>
        <v>0</v>
      </c>
      <c r="X203" s="140">
        <f>($C203*Factores!$J$4*1000*Factores!W$4-Formato!$E203*Factores!$J$5*1000*Factores!W$5)/1000000</f>
        <v>0</v>
      </c>
      <c r="Y203" s="140">
        <f>($C203*Factores!$J$4*1000*Factores!X$4-Formato!$E203*Factores!$J$5*1000*Factores!X$5)/1000000</f>
        <v>0</v>
      </c>
      <c r="Z203" s="140">
        <f>($C203*Factores!$J$4*1000*Factores!Y$4-Formato!$E203*Factores!$J$5*1000*Factores!Y$5)/1000000</f>
        <v>0</v>
      </c>
      <c r="AA203" s="140">
        <f>($C203*Factores!$J$4*1000*Factores!Z$4-Formato!$E203*Factores!$J$5*1000*Factores!Z$5)/1000000</f>
        <v>0</v>
      </c>
      <c r="AB203" s="140">
        <f>($C203*Factores!$J$4*1000*Factores!AA$4-Formato!$E203*Factores!$J$5*1000*Factores!AA$5)/1000000</f>
        <v>0</v>
      </c>
    </row>
    <row r="204" spans="2:28" x14ac:dyDescent="0.2">
      <c r="B204" s="97" t="s">
        <v>73</v>
      </c>
      <c r="C204" s="138">
        <f>E204*Factores!$I$14</f>
        <v>0</v>
      </c>
      <c r="D204" s="97" t="s">
        <v>88</v>
      </c>
      <c r="E204" s="138">
        <f t="shared" si="14"/>
        <v>0</v>
      </c>
      <c r="F204" s="139">
        <f>[1]Hoja1!B15/3</f>
        <v>0</v>
      </c>
      <c r="G204" s="101" t="s">
        <v>133</v>
      </c>
      <c r="H204" s="97">
        <v>2012</v>
      </c>
      <c r="I204" s="101" t="s">
        <v>231</v>
      </c>
      <c r="J204" s="104">
        <v>43847</v>
      </c>
      <c r="K204" s="97" t="s">
        <v>197</v>
      </c>
      <c r="L204" s="112"/>
      <c r="M204" s="112"/>
      <c r="N204" s="140">
        <f>((C204*((Factores!$F$6*Factores!$L$4)+Factores!$N$4*Factores!$L$20+Factores!$P$4*Factores!$L$21)*Factores!$J$4)-(E204*(Factores!$L$5+Factores!$N$5*Factores!$L$20+Factores!$P$5*Factores!$L$21)*Factores!$J$5))</f>
        <v>0</v>
      </c>
      <c r="O204" s="106">
        <f>C204*Factores!$J$4*(Factores!$L$4*Factores!$F$6+Factores!$N$4*Factores!$L$20+Factores!$P$4*Factores!$L$21)</f>
        <v>0</v>
      </c>
      <c r="P204" s="106">
        <f>E204*Factores!$J$5*(Factores!$L$5+Factores!$N$5*Factores!$L$20+Factores!$P$5*Factores!$L$21)</f>
        <v>0</v>
      </c>
      <c r="Q204" s="141">
        <f t="shared" si="20"/>
        <v>0</v>
      </c>
      <c r="R204" s="106">
        <f t="shared" si="13"/>
        <v>0</v>
      </c>
      <c r="V204" s="140">
        <f>($C204*Factores!$J$4*1000*Factores!U$4-Formato!$E204*Factores!$J$5*1000*Factores!U$5)/1000000</f>
        <v>0</v>
      </c>
      <c r="W204" s="140">
        <f>($C204*Factores!$J$4*1000*Factores!V$4-Formato!$E204*Factores!$J$5*1000*Factores!V$5)/1000000</f>
        <v>0</v>
      </c>
      <c r="X204" s="140">
        <f>($C204*Factores!$J$4*1000*Factores!W$4-Formato!$E204*Factores!$J$5*1000*Factores!W$5)/1000000</f>
        <v>0</v>
      </c>
      <c r="Y204" s="140">
        <f>($C204*Factores!$J$4*1000*Factores!X$4-Formato!$E204*Factores!$J$5*1000*Factores!X$5)/1000000</f>
        <v>0</v>
      </c>
      <c r="Z204" s="140">
        <f>($C204*Factores!$J$4*1000*Factores!Y$4-Formato!$E204*Factores!$J$5*1000*Factores!Y$5)/1000000</f>
        <v>0</v>
      </c>
      <c r="AA204" s="140">
        <f>($C204*Factores!$J$4*1000*Factores!Z$4-Formato!$E204*Factores!$J$5*1000*Factores!Z$5)/1000000</f>
        <v>0</v>
      </c>
      <c r="AB204" s="140">
        <f>($C204*Factores!$J$4*1000*Factores!AA$4-Formato!$E204*Factores!$J$5*1000*Factores!AA$5)/1000000</f>
        <v>0</v>
      </c>
    </row>
    <row r="205" spans="2:28" x14ac:dyDescent="0.2">
      <c r="B205" s="97" t="s">
        <v>73</v>
      </c>
      <c r="C205" s="138">
        <f>E205*Factores!$I$14</f>
        <v>157.99559571459122</v>
      </c>
      <c r="D205" s="97" t="s">
        <v>88</v>
      </c>
      <c r="E205" s="138">
        <f t="shared" si="14"/>
        <v>21.406666666666663</v>
      </c>
      <c r="F205" s="139">
        <f>[1]Hoja1!B16/3</f>
        <v>2140.6666666666665</v>
      </c>
      <c r="G205" s="101" t="s">
        <v>133</v>
      </c>
      <c r="H205" s="97">
        <v>2012</v>
      </c>
      <c r="I205" s="101" t="s">
        <v>232</v>
      </c>
      <c r="J205" s="104">
        <v>43847</v>
      </c>
      <c r="K205" s="97" t="s">
        <v>197</v>
      </c>
      <c r="L205" s="112"/>
      <c r="M205" s="112"/>
      <c r="N205" s="140">
        <f>((C205*((Factores!$F$6*Factores!$L$4)+Factores!$N$4*Factores!$L$20+Factores!$P$4*Factores!$L$21)*Factores!$J$4)-(E205*(Factores!$L$5+Factores!$N$5*Factores!$L$20+Factores!$P$5*Factores!$L$21)*Factores!$J$5))</f>
        <v>13.296490947579841</v>
      </c>
      <c r="O205" s="106">
        <f>C205*Factores!$J$4*(Factores!$L$4*Factores!$F$6+Factores!$N$4*Factores!$L$20+Factores!$P$4*Factores!$L$21)</f>
        <v>77.244678727246509</v>
      </c>
      <c r="P205" s="106">
        <f>E205*Factores!$J$5*(Factores!$L$5+Factores!$N$5*Factores!$L$20+Factores!$P$5*Factores!$L$21)</f>
        <v>63.948187779666654</v>
      </c>
      <c r="Q205" s="141">
        <f t="shared" si="20"/>
        <v>13.296490947579855</v>
      </c>
      <c r="R205" s="106">
        <f t="shared" si="13"/>
        <v>-1.4210854715202004E-14</v>
      </c>
      <c r="V205" s="140">
        <f>($C205*Factores!$J$4*1000*Factores!U$4-Formato!$E205*Factores!$J$5*1000*Factores!U$5)/1000000</f>
        <v>9.8325992539238261</v>
      </c>
      <c r="W205" s="140">
        <f>($C205*Factores!$J$4*1000*Factores!V$4-Formato!$E205*Factores!$J$5*1000*Factores!V$5)/1000000</f>
        <v>7.1597262657381158E-2</v>
      </c>
      <c r="X205" s="140">
        <f>($C205*Factores!$J$4*1000*Factores!W$4-Formato!$E205*Factores!$J$5*1000*Factores!W$5)/1000000</f>
        <v>1.4769149587552406</v>
      </c>
      <c r="Y205" s="140">
        <f>($C205*Factores!$J$4*1000*Factores!X$4-Formato!$E205*Factores!$J$5*1000*Factores!X$5)/1000000</f>
        <v>2.6808283624623851E-2</v>
      </c>
      <c r="Z205" s="140">
        <f>($C205*Factores!$J$4*1000*Factores!Y$4-Formato!$E205*Factores!$J$5*1000*Factores!Y$5)/1000000</f>
        <v>1.8719807403921938</v>
      </c>
      <c r="AA205" s="140">
        <f>($C205*Factores!$J$4*1000*Factores!Z$4-Formato!$E205*Factores!$J$5*1000*Factores!Z$5)/1000000</f>
        <v>1.822686114529241</v>
      </c>
      <c r="AB205" s="140">
        <f>($C205*Factores!$J$4*1000*Factores!AA$4-Formato!$E205*Factores!$J$5*1000*Factores!AA$5)/1000000</f>
        <v>0.18232450340332412</v>
      </c>
    </row>
    <row r="206" spans="2:28" x14ac:dyDescent="0.2">
      <c r="B206" s="97" t="s">
        <v>73</v>
      </c>
      <c r="C206" s="138">
        <f>E206*Factores!$I$14</f>
        <v>186.28817358313373</v>
      </c>
      <c r="D206" s="97" t="s">
        <v>88</v>
      </c>
      <c r="E206" s="138">
        <f t="shared" si="14"/>
        <v>25.24</v>
      </c>
      <c r="F206" s="139">
        <f>[1]Hoja1!B17/3</f>
        <v>2524</v>
      </c>
      <c r="G206" s="101" t="s">
        <v>133</v>
      </c>
      <c r="H206" s="97">
        <v>2012</v>
      </c>
      <c r="I206" s="101" t="s">
        <v>233</v>
      </c>
      <c r="J206" s="104">
        <v>43847</v>
      </c>
      <c r="K206" s="97" t="s">
        <v>197</v>
      </c>
      <c r="L206" s="112"/>
      <c r="M206" s="112"/>
      <c r="N206" s="140">
        <f>((C206*((Factores!$F$6*Factores!$L$4)+Factores!$N$4*Factores!$L$20+Factores!$P$4*Factores!$L$21)*Factores!$J$4)-(E206*(Factores!$L$5+Factores!$N$5*Factores!$L$20+Factores!$P$5*Factores!$L$21)*Factores!$J$5))</f>
        <v>15.677519379488402</v>
      </c>
      <c r="O206" s="106">
        <f>C206*Factores!$J$4*(Factores!$L$4*Factores!$F$6+Factores!$N$4*Factores!$L$20+Factores!$P$4*Factores!$L$21)</f>
        <v>91.077033217488406</v>
      </c>
      <c r="P206" s="106">
        <f>E206*Factores!$J$5*(Factores!$L$5+Factores!$N$5*Factores!$L$20+Factores!$P$5*Factores!$L$21)</f>
        <v>75.39951383799999</v>
      </c>
      <c r="Q206" s="141">
        <f t="shared" si="20"/>
        <v>15.677519379488416</v>
      </c>
      <c r="R206" s="106">
        <f t="shared" si="13"/>
        <v>-1.4210854715202004E-14</v>
      </c>
      <c r="V206" s="140">
        <f>($C206*Factores!$J$4*1000*Factores!U$4-Formato!$E206*Factores!$J$5*1000*Factores!U$5)/1000000</f>
        <v>11.593341879587543</v>
      </c>
      <c r="W206" s="140">
        <f>($C206*Factores!$J$4*1000*Factores!V$4-Formato!$E206*Factores!$J$5*1000*Factores!V$5)/1000000</f>
        <v>8.4418323394844313E-2</v>
      </c>
      <c r="X206" s="140">
        <f>($C206*Factores!$J$4*1000*Factores!W$4-Formato!$E206*Factores!$J$5*1000*Factores!W$5)/1000000</f>
        <v>1.7413889859381315</v>
      </c>
      <c r="Y206" s="140">
        <f>($C206*Factores!$J$4*1000*Factores!X$4-Formato!$E206*Factores!$J$5*1000*Factores!X$5)/1000000</f>
        <v>3.1608894986865747E-2</v>
      </c>
      <c r="Z206" s="140">
        <f>($C206*Factores!$J$4*1000*Factores!Y$4-Formato!$E206*Factores!$J$5*1000*Factores!Y$5)/1000000</f>
        <v>2.2071999636016328</v>
      </c>
      <c r="AA206" s="140">
        <f>($C206*Factores!$J$4*1000*Factores!Z$4-Formato!$E206*Factores!$J$5*1000*Factores!Z$5)/1000000</f>
        <v>2.1490780534436955</v>
      </c>
      <c r="AB206" s="140">
        <f>($C206*Factores!$J$4*1000*Factores!AA$4-Formato!$E206*Factores!$J$5*1000*Factores!AA$5)/1000000</f>
        <v>0.21497370597476959</v>
      </c>
    </row>
    <row r="207" spans="2:28" x14ac:dyDescent="0.2">
      <c r="B207" s="97" t="s">
        <v>73</v>
      </c>
      <c r="C207" s="138">
        <f>E207*Factores!$I$14</f>
        <v>129.23557525517717</v>
      </c>
      <c r="D207" s="97" t="s">
        <v>88</v>
      </c>
      <c r="E207" s="138">
        <f t="shared" si="14"/>
        <v>17.510000000000002</v>
      </c>
      <c r="F207" s="139">
        <f>[1]Hoja1!B18/3</f>
        <v>1751</v>
      </c>
      <c r="G207" s="101" t="s">
        <v>133</v>
      </c>
      <c r="H207" s="97">
        <v>2012</v>
      </c>
      <c r="I207" s="101" t="s">
        <v>234</v>
      </c>
      <c r="J207" s="104">
        <v>43847</v>
      </c>
      <c r="K207" s="97" t="s">
        <v>197</v>
      </c>
      <c r="L207" s="112"/>
      <c r="M207" s="112"/>
      <c r="N207" s="140">
        <f>((C207*((Factores!$F$6*Factores!$L$4)+Factores!$N$4*Factores!$L$20+Factores!$P$4*Factores!$L$21)*Factores!$J$4)-(E207*(Factores!$L$5+Factores!$N$5*Factores!$L$20+Factores!$P$5*Factores!$L$21)*Factores!$J$5))</f>
        <v>10.876123785057125</v>
      </c>
      <c r="O207" s="106">
        <f>C207*Factores!$J$4*(Factores!$L$4*Factores!$F$6+Factores!$N$4*Factores!$L$20+Factores!$P$4*Factores!$L$21)</f>
        <v>63.183789684557134</v>
      </c>
      <c r="P207" s="106">
        <f>E207*Factores!$J$5*(Factores!$L$5+Factores!$N$5*Factores!$L$20+Factores!$P$5*Factores!$L$21)</f>
        <v>52.307665899500009</v>
      </c>
      <c r="Q207" s="141">
        <f t="shared" si="20"/>
        <v>10.876123785057125</v>
      </c>
      <c r="R207" s="106">
        <f t="shared" si="13"/>
        <v>0</v>
      </c>
      <c r="V207" s="140">
        <f>($C207*Factores!$J$4*1000*Factores!U$4-Formato!$E207*Factores!$J$5*1000*Factores!U$5)/1000000</f>
        <v>8.0427660979230549</v>
      </c>
      <c r="W207" s="140">
        <f>($C207*Factores!$J$4*1000*Factores!V$4-Formato!$E207*Factores!$J$5*1000*Factores!V$5)/1000000</f>
        <v>5.8564375699038183E-2</v>
      </c>
      <c r="X207" s="140">
        <f>($C207*Factores!$J$4*1000*Factores!W$4-Formato!$E207*Factores!$J$5*1000*Factores!W$5)/1000000</f>
        <v>1.2080713606884581</v>
      </c>
      <c r="Y207" s="140">
        <f>($C207*Factores!$J$4*1000*Factores!X$4-Formato!$E207*Factores!$J$5*1000*Factores!X$5)/1000000</f>
        <v>2.1928357813788404E-2</v>
      </c>
      <c r="Z207" s="140">
        <f>($C207*Factores!$J$4*1000*Factores!Y$4-Formato!$E207*Factores!$J$5*1000*Factores!Y$5)/1000000</f>
        <v>1.5312231126253806</v>
      </c>
      <c r="AA207" s="140">
        <f>($C207*Factores!$J$4*1000*Factores!Z$4-Formato!$E207*Factores!$J$5*1000*Factores!Z$5)/1000000</f>
        <v>1.4909016131457651</v>
      </c>
      <c r="AB207" s="140">
        <f>($C207*Factores!$J$4*1000*Factores!AA$4-Formato!$E207*Factores!$J$5*1000*Factores!AA$5)/1000000</f>
        <v>0.14913587922417654</v>
      </c>
    </row>
    <row r="208" spans="2:28" x14ac:dyDescent="0.2">
      <c r="B208" s="97" t="s">
        <v>73</v>
      </c>
      <c r="C208" s="138">
        <f>E208*Factores!$I$14</f>
        <v>114.671048213284</v>
      </c>
      <c r="D208" s="97" t="s">
        <v>88</v>
      </c>
      <c r="E208" s="138">
        <f t="shared" si="14"/>
        <v>15.536666666666667</v>
      </c>
      <c r="F208" s="139">
        <f>[1]Hoja1!B19/3</f>
        <v>1553.6666666666667</v>
      </c>
      <c r="G208" s="101" t="s">
        <v>133</v>
      </c>
      <c r="H208" s="97">
        <v>2012</v>
      </c>
      <c r="I208" s="101" t="s">
        <v>235</v>
      </c>
      <c r="J208" s="104">
        <v>43847</v>
      </c>
      <c r="K208" s="97" t="s">
        <v>197</v>
      </c>
      <c r="L208" s="112"/>
      <c r="M208" s="112"/>
      <c r="N208" s="140">
        <f>((C208*((Factores!$F$6*Factores!$L$4)+Factores!$N$4*Factores!$L$20+Factores!$P$4*Factores!$L$21)*Factores!$J$4)-(E208*(Factores!$L$5+Factores!$N$5*Factores!$L$20+Factores!$P$5*Factores!$L$21)*Factores!$J$5))</f>
        <v>9.65041175750072</v>
      </c>
      <c r="O208" s="106">
        <f>C208*Factores!$J$4*(Factores!$L$4*Factores!$F$6+Factores!$N$4*Factores!$L$20+Factores!$P$4*Factores!$L$21)</f>
        <v>56.063134155667392</v>
      </c>
      <c r="P208" s="106">
        <f>E208*Factores!$J$5*(Factores!$L$5+Factores!$N$5*Factores!$L$20+Factores!$P$5*Factores!$L$21)</f>
        <v>46.412722398166672</v>
      </c>
      <c r="Q208" s="141">
        <f t="shared" si="20"/>
        <v>9.65041175750072</v>
      </c>
      <c r="R208" s="106">
        <f t="shared" si="13"/>
        <v>0</v>
      </c>
      <c r="V208" s="140">
        <f>($C208*Factores!$J$4*1000*Factores!U$4-Formato!$E208*Factores!$J$5*1000*Factores!U$5)/1000000</f>
        <v>7.1363664158422537</v>
      </c>
      <c r="W208" s="140">
        <f>($C208*Factores!$J$4*1000*Factores!V$4-Formato!$E208*Factores!$J$5*1000*Factores!V$5)/1000000</f>
        <v>5.1964316606361499E-2</v>
      </c>
      <c r="X208" s="140">
        <f>($C208*Factores!$J$4*1000*Factores!W$4-Formato!$E208*Factores!$J$5*1000*Factores!W$5)/1000000</f>
        <v>1.0719247310430047</v>
      </c>
      <c r="Y208" s="140">
        <f>($C208*Factores!$J$4*1000*Factores!X$4-Formato!$E208*Factores!$J$5*1000*Factores!X$5)/1000000</f>
        <v>1.9457086573399531E-2</v>
      </c>
      <c r="Z208" s="140">
        <f>($C208*Factores!$J$4*1000*Factores!Y$4-Formato!$E208*Factores!$J$5*1000*Factores!Y$5)/1000000</f>
        <v>1.3586580864166951</v>
      </c>
      <c r="AA208" s="140">
        <f>($C208*Factores!$J$4*1000*Factores!Z$4-Formato!$E208*Factores!$J$5*1000*Factores!Z$5)/1000000</f>
        <v>1.3228807193741503</v>
      </c>
      <c r="AB208" s="140">
        <f>($C208*Factores!$J$4*1000*Factores!AA$4-Formato!$E208*Factores!$J$5*1000*Factores!AA$5)/1000000</f>
        <v>0.13232863755261504</v>
      </c>
    </row>
    <row r="209" spans="2:28" x14ac:dyDescent="0.2">
      <c r="B209" s="97" t="s">
        <v>73</v>
      </c>
      <c r="C209" s="138">
        <f>E209*Factores!$I$14</f>
        <v>212.1697317724439</v>
      </c>
      <c r="D209" s="97" t="s">
        <v>88</v>
      </c>
      <c r="E209" s="138">
        <f t="shared" si="14"/>
        <v>28.746666666666663</v>
      </c>
      <c r="F209" s="139">
        <f>[1]Hoja1!B20/3</f>
        <v>2874.6666666666665</v>
      </c>
      <c r="G209" s="101" t="s">
        <v>133</v>
      </c>
      <c r="H209" s="97">
        <v>2012</v>
      </c>
      <c r="I209" s="101" t="s">
        <v>236</v>
      </c>
      <c r="J209" s="104">
        <v>43847</v>
      </c>
      <c r="K209" s="97" t="s">
        <v>197</v>
      </c>
      <c r="L209" s="112"/>
      <c r="M209" s="112"/>
      <c r="N209" s="140">
        <f>((C209*((Factores!$F$6*Factores!$L$4)+Factores!$N$4*Factores!$L$20+Factores!$P$4*Factores!$L$21)*Factores!$J$4)-(E209*(Factores!$L$5+Factores!$N$5*Factores!$L$20+Factores!$P$5*Factores!$L$21)*Factores!$J$5))</f>
        <v>17.855642779808264</v>
      </c>
      <c r="O209" s="106">
        <f>C209*Factores!$J$4*(Factores!$L$4*Factores!$F$6+Factores!$N$4*Factores!$L$20+Factores!$P$4*Factores!$L$21)</f>
        <v>103.73063054247491</v>
      </c>
      <c r="P209" s="106">
        <f>E209*Factores!$J$5*(Factores!$L$5+Factores!$N$5*Factores!$L$20+Factores!$P$5*Factores!$L$21)</f>
        <v>85.874987762666663</v>
      </c>
      <c r="Q209" s="141">
        <f t="shared" si="20"/>
        <v>17.85564277980825</v>
      </c>
      <c r="R209" s="106">
        <f t="shared" si="13"/>
        <v>0</v>
      </c>
      <c r="V209" s="140">
        <f>($C209*Factores!$J$4*1000*Factores!U$4-Formato!$E209*Factores!$J$5*1000*Factores!U$5)/1000000</f>
        <v>13.20403861193383</v>
      </c>
      <c r="W209" s="140">
        <f>($C209*Factores!$J$4*1000*Factores!V$4-Formato!$E209*Factores!$J$5*1000*Factores!V$5)/1000000</f>
        <v>9.6146806782506228E-2</v>
      </c>
      <c r="X209" s="140">
        <f>($C209*Factores!$J$4*1000*Factores!W$4-Formato!$E209*Factores!$J$5*1000*Factores!W$5)/1000000</f>
        <v>1.9833252264567414</v>
      </c>
      <c r="Y209" s="140">
        <f>($C209*Factores!$J$4*1000*Factores!X$4-Formato!$E209*Factores!$J$5*1000*Factores!X$5)/1000000</f>
        <v>3.6000410772151367E-2</v>
      </c>
      <c r="Z209" s="140">
        <f>($C209*Factores!$J$4*1000*Factores!Y$4-Formato!$E209*Factores!$J$5*1000*Factores!Y$5)/1000000</f>
        <v>2.5138526790940943</v>
      </c>
      <c r="AA209" s="140">
        <f>($C209*Factores!$J$4*1000*Factores!Z$4-Formato!$E209*Factores!$J$5*1000*Factores!Z$5)/1000000</f>
        <v>2.447655722781092</v>
      </c>
      <c r="AB209" s="140">
        <f>($C209*Factores!$J$4*1000*Factores!AA$4-Formato!$E209*Factores!$J$5*1000*Factores!AA$5)/1000000</f>
        <v>0.24484062867490924</v>
      </c>
    </row>
    <row r="210" spans="2:28" ht="13.5" thickBot="1" x14ac:dyDescent="0.25">
      <c r="B210" s="143" t="s">
        <v>73</v>
      </c>
      <c r="C210" s="144">
        <f>E210*Factores!$I$14</f>
        <v>970.68144330725579</v>
      </c>
      <c r="D210" s="143" t="s">
        <v>88</v>
      </c>
      <c r="E210" s="144">
        <f t="shared" si="14"/>
        <v>131.51666666666665</v>
      </c>
      <c r="F210" s="145">
        <f>[1]Hoja1!B21/3</f>
        <v>13151.666666666666</v>
      </c>
      <c r="G210" s="146" t="s">
        <v>133</v>
      </c>
      <c r="H210" s="143">
        <v>2012</v>
      </c>
      <c r="I210" s="146" t="s">
        <v>237</v>
      </c>
      <c r="J210" s="147">
        <v>43847</v>
      </c>
      <c r="K210" s="143" t="s">
        <v>197</v>
      </c>
      <c r="L210" s="148"/>
      <c r="M210" s="148"/>
      <c r="N210" s="140">
        <f>((C210*((Factores!$F$6*Factores!$L$4)+Factores!$N$4*Factores!$L$20+Factores!$P$4*Factores!$L$21)*Factores!$J$4)-(E210*(Factores!$L$5+Factores!$N$5*Factores!$L$20+Factores!$P$5*Factores!$L$21)*Factores!$J$5))</f>
        <v>81.689979809523948</v>
      </c>
      <c r="O210" s="106">
        <f>C210*Factores!$J$4*(Factores!$L$4*Factores!$F$6+Factores!$N$4*Factores!$L$20+Factores!$P$4*Factores!$L$21)</f>
        <v>474.57004035869056</v>
      </c>
      <c r="P210" s="106">
        <f>E210*Factores!$J$5*(Factores!$L$5+Factores!$N$5*Factores!$L$20+Factores!$P$5*Factores!$L$21)</f>
        <v>392.88006054916667</v>
      </c>
      <c r="Q210" s="141">
        <f t="shared" si="20"/>
        <v>81.689979809523891</v>
      </c>
      <c r="R210" s="106">
        <f t="shared" si="13"/>
        <v>0</v>
      </c>
      <c r="V210" s="140">
        <f>($C210*Factores!$J$4*1000*Factores!U$4-Formato!$E210*Factores!$J$5*1000*Factores!U$5)/1000000</f>
        <v>60.408782865706094</v>
      </c>
      <c r="W210" s="140">
        <f>($C210*Factores!$J$4*1000*Factores!V$4-Formato!$E210*Factores!$J$5*1000*Factores!V$5)/1000000</f>
        <v>0.4398738707796595</v>
      </c>
      <c r="X210" s="140">
        <f>($C210*Factores!$J$4*1000*Factores!W$4-Formato!$E210*Factores!$J$5*1000*Factores!W$5)/1000000</f>
        <v>9.0737589065225812</v>
      </c>
      <c r="Y210" s="140">
        <f>($C210*Factores!$J$4*1000*Factores!X$4-Formato!$E210*Factores!$J$5*1000*Factores!X$5)/1000000</f>
        <v>0.16470271417152507</v>
      </c>
      <c r="Z210" s="140">
        <f>($C210*Factores!$J$4*1000*Factores!Y$4-Formato!$E210*Factores!$J$5*1000*Factores!Y$5)/1000000</f>
        <v>11.500934305850825</v>
      </c>
      <c r="AA210" s="140">
        <f>($C210*Factores!$J$4*1000*Factores!Z$4-Formato!$E210*Factores!$J$5*1000*Factores!Z$5)/1000000</f>
        <v>11.19808169553896</v>
      </c>
      <c r="AB210" s="140">
        <f>($C210*Factores!$J$4*1000*Factores!AA$4-Formato!$E210*Factores!$J$5*1000*Factores!AA$5)/1000000</f>
        <v>1.1201515543098959</v>
      </c>
    </row>
    <row r="211" spans="2:28" ht="13.5" thickBot="1" x14ac:dyDescent="0.25">
      <c r="B211" s="226" t="s">
        <v>224</v>
      </c>
      <c r="C211" s="227"/>
      <c r="D211" s="227"/>
      <c r="E211" s="227"/>
      <c r="F211" s="227"/>
      <c r="G211" s="227"/>
      <c r="H211" s="227"/>
      <c r="I211" s="227"/>
      <c r="J211" s="227"/>
      <c r="K211" s="227"/>
      <c r="L211" s="227"/>
      <c r="M211" s="227"/>
      <c r="N211" s="149">
        <f>SUM(N175:N210)</f>
        <v>1499.2222066725876</v>
      </c>
      <c r="V211" s="150">
        <f>SUM(V175:V210)</f>
        <v>330.65368537474978</v>
      </c>
      <c r="W211" s="150">
        <f t="shared" ref="W211:AB211" si="21">SUM(W175:W210)</f>
        <v>2.4076948677593726</v>
      </c>
      <c r="X211" s="150">
        <f t="shared" si="21"/>
        <v>49.666152508212463</v>
      </c>
      <c r="Y211" s="150">
        <f t="shared" si="21"/>
        <v>0.90151724382706178</v>
      </c>
      <c r="Z211" s="150">
        <f t="shared" si="21"/>
        <v>62.951546663942466</v>
      </c>
      <c r="AA211" s="150">
        <f t="shared" si="21"/>
        <v>61.293851756438706</v>
      </c>
      <c r="AB211" s="150">
        <f t="shared" si="21"/>
        <v>6.1312647274190715</v>
      </c>
    </row>
    <row r="212" spans="2:28" x14ac:dyDescent="0.2">
      <c r="B212" s="151" t="s">
        <v>73</v>
      </c>
      <c r="C212" s="152">
        <f>E212*Factores!$I$14</f>
        <v>2152.8929601047103</v>
      </c>
      <c r="D212" s="151" t="s">
        <v>88</v>
      </c>
      <c r="E212" s="152">
        <f t="shared" ref="E212:E266" si="22">F212*10/1000</f>
        <v>291.69333333333333</v>
      </c>
      <c r="F212" s="153">
        <f>[1]Hoja1!C10/3</f>
        <v>29169.333333333332</v>
      </c>
      <c r="G212" s="154" t="s">
        <v>131</v>
      </c>
      <c r="H212" s="151">
        <v>2013</v>
      </c>
      <c r="I212" s="101" t="s">
        <v>226</v>
      </c>
      <c r="J212" s="155">
        <v>43847</v>
      </c>
      <c r="K212" s="151" t="s">
        <v>197</v>
      </c>
      <c r="L212" s="156"/>
      <c r="M212" s="156"/>
      <c r="N212" s="140">
        <f>((C212*((Factores!$D$7*Factores!$L$4)+Factores!$N$4*Factores!$L$20+Factores!$P$4*Factores!$L$21)*Factores!$J$4)-(E212*(Factores!$L$5+Factores!$N$5*Factores!$L$20+Factores!$P$5*Factores!$L$21)*Factores!$J$5))</f>
        <v>1046.3347238275383</v>
      </c>
      <c r="O212" s="106">
        <f>C212*Factores!$J$4*(Factores!$L$4*Factores!$D$7+Factores!$N$4*Factores!$L$20+Factores!$P$4*Factores!$L$21)</f>
        <v>1917.7109331428719</v>
      </c>
      <c r="P212" s="106">
        <f>E212*Factores!$J$5*(Factores!$L$5+Factores!$N$5*Factores!$L$20+Factores!$P$5*Factores!$L$21)</f>
        <v>871.37620931533331</v>
      </c>
      <c r="Q212" s="141">
        <f t="shared" ref="Q212:Q223" si="23">O212-P212</f>
        <v>1046.3347238275387</v>
      </c>
      <c r="R212" s="106">
        <f t="shared" ref="R212:R247" si="24">N212-Q212</f>
        <v>0</v>
      </c>
      <c r="V212" s="140">
        <f>($C212*Factores!$J$4*1000*Factores!U$4-Formato!$E212*Factores!$J$5*1000*Factores!U$5)/1000000</f>
        <v>133.98179624920058</v>
      </c>
      <c r="W212" s="140">
        <f>($C212*Factores!$J$4*1000*Factores!V$4-Formato!$E212*Factores!$J$5*1000*Factores!V$5)/1000000</f>
        <v>0.97560468088167396</v>
      </c>
      <c r="X212" s="140">
        <f>($C212*Factores!$J$4*1000*Factores!W$4-Formato!$E212*Factores!$J$5*1000*Factores!W$5)/1000000</f>
        <v>20.124863626713424</v>
      </c>
      <c r="Y212" s="140">
        <f>($C212*Factores!$J$4*1000*Factores!X$4-Formato!$E212*Factores!$J$5*1000*Factores!X$5)/1000000</f>
        <v>0.36529730355396833</v>
      </c>
      <c r="Z212" s="140">
        <f>($C212*Factores!$J$4*1000*Factores!Y$4-Formato!$E212*Factores!$J$5*1000*Factores!Y$5)/1000000</f>
        <v>25.508142421401445</v>
      </c>
      <c r="AA212" s="140">
        <f>($C212*Factores!$J$4*1000*Factores!Z$4-Formato!$E212*Factores!$J$5*1000*Factores!Z$5)/1000000</f>
        <v>24.836439817848774</v>
      </c>
      <c r="AB212" s="140">
        <f>($C212*Factores!$J$4*1000*Factores!AA$4-Formato!$E212*Factores!$J$5*1000*Factores!AA$5)/1000000</f>
        <v>2.4844055814104773</v>
      </c>
    </row>
    <row r="213" spans="2:28" x14ac:dyDescent="0.2">
      <c r="B213" s="151" t="s">
        <v>73</v>
      </c>
      <c r="C213" s="152">
        <f>E213*Factores!$I$14</f>
        <v>2495.1101411059503</v>
      </c>
      <c r="D213" s="151" t="s">
        <v>88</v>
      </c>
      <c r="E213" s="152">
        <f t="shared" si="22"/>
        <v>338.06</v>
      </c>
      <c r="F213" s="153">
        <f>[1]Hoja1!C11/3</f>
        <v>33806</v>
      </c>
      <c r="G213" s="154" t="s">
        <v>131</v>
      </c>
      <c r="H213" s="151">
        <v>2013</v>
      </c>
      <c r="I213" s="101" t="s">
        <v>227</v>
      </c>
      <c r="J213" s="155">
        <v>43847</v>
      </c>
      <c r="K213" s="151" t="s">
        <v>197</v>
      </c>
      <c r="L213" s="156"/>
      <c r="M213" s="156"/>
      <c r="N213" s="140">
        <f>((C213*((Factores!$D$7*Factores!$L$4)+Factores!$N$4*Factores!$L$20+Factores!$P$4*Factores!$L$21)*Factores!$J$4)-(E213*(Factores!$L$5+Factores!$N$5*Factores!$L$20+Factores!$P$5*Factores!$L$21)*Factores!$J$5))</f>
        <v>1212.6568430445361</v>
      </c>
      <c r="O213" s="106">
        <f>C213*Factores!$J$4*(Factores!$L$4*Factores!$D$7+Factores!$N$4*Factores!$L$20+Factores!$P$4*Factores!$L$21)</f>
        <v>2222.5443092915366</v>
      </c>
      <c r="P213" s="106">
        <f>E213*Factores!$J$5*(Factores!$L$5+Factores!$N$5*Factores!$L$20+Factores!$P$5*Factores!$L$21)</f>
        <v>1009.8874662470001</v>
      </c>
      <c r="Q213" s="141">
        <f t="shared" si="23"/>
        <v>1212.6568430445363</v>
      </c>
      <c r="R213" s="106">
        <f t="shared" si="24"/>
        <v>0</v>
      </c>
      <c r="V213" s="140">
        <f>($C213*Factores!$J$4*1000*Factores!U$4-Formato!$E213*Factores!$J$5*1000*Factores!U$5)/1000000</f>
        <v>155.27912661701131</v>
      </c>
      <c r="W213" s="140">
        <f>($C213*Factores!$J$4*1000*Factores!V$4-Formato!$E213*Factores!$J$5*1000*Factores!V$5)/1000000</f>
        <v>1.1306837720626413</v>
      </c>
      <c r="X213" s="140">
        <f>($C213*Factores!$J$4*1000*Factores!W$4-Formato!$E213*Factores!$J$5*1000*Factores!W$5)/1000000</f>
        <v>23.3238494685517</v>
      </c>
      <c r="Y213" s="140">
        <f>($C213*Factores!$J$4*1000*Factores!X$4-Formato!$E213*Factores!$J$5*1000*Factores!X$5)/1000000</f>
        <v>0.4233638288137811</v>
      </c>
      <c r="Z213" s="140">
        <f>($C213*Factores!$J$4*1000*Factores!Y$4-Formato!$E213*Factores!$J$5*1000*Factores!Y$5)/1000000</f>
        <v>29.562837547352149</v>
      </c>
      <c r="AA213" s="140">
        <f>($C213*Factores!$J$4*1000*Factores!Z$4-Formato!$E213*Factores!$J$5*1000*Factores!Z$5)/1000000</f>
        <v>28.784363183327095</v>
      </c>
      <c r="AB213" s="140">
        <f>($C213*Factores!$J$4*1000*Factores!AA$4-Formato!$E213*Factores!$J$5*1000*Factores!AA$5)/1000000</f>
        <v>2.8793189794703093</v>
      </c>
    </row>
    <row r="214" spans="2:28" x14ac:dyDescent="0.2">
      <c r="B214" s="151" t="s">
        <v>73</v>
      </c>
      <c r="C214" s="152">
        <f>E214*Factores!$I$14</f>
        <v>2807.6570187076582</v>
      </c>
      <c r="D214" s="151" t="s">
        <v>88</v>
      </c>
      <c r="E214" s="152">
        <f t="shared" si="22"/>
        <v>380.40666666666664</v>
      </c>
      <c r="F214" s="153">
        <f>[1]Hoja1!C12/3</f>
        <v>38040.666666666664</v>
      </c>
      <c r="G214" s="154" t="s">
        <v>131</v>
      </c>
      <c r="H214" s="151">
        <v>2013</v>
      </c>
      <c r="I214" s="101" t="s">
        <v>228</v>
      </c>
      <c r="J214" s="155">
        <v>43847</v>
      </c>
      <c r="K214" s="151" t="s">
        <v>197</v>
      </c>
      <c r="L214" s="156"/>
      <c r="M214" s="156"/>
      <c r="N214" s="140">
        <f>((C214*((Factores!$D$7*Factores!$L$4)+Factores!$N$4*Factores!$L$20+Factores!$P$4*Factores!$L$21)*Factores!$J$4)-(E214*(Factores!$L$5+Factores!$N$5*Factores!$L$20+Factores!$P$5*Factores!$L$21)*Factores!$J$5))</f>
        <v>1364.5587986543667</v>
      </c>
      <c r="O214" s="106">
        <f>C214*Factores!$J$4*(Factores!$L$4*Factores!$D$7+Factores!$N$4*Factores!$L$20+Factores!$P$4*Factores!$L$21)</f>
        <v>2500.9485659840338</v>
      </c>
      <c r="P214" s="106">
        <f>E214*Factores!$J$5*(Factores!$L$5+Factores!$N$5*Factores!$L$20+Factores!$P$5*Factores!$L$21)</f>
        <v>1136.3897673296665</v>
      </c>
      <c r="Q214" s="141">
        <f t="shared" si="23"/>
        <v>1364.5587986543674</v>
      </c>
      <c r="R214" s="106">
        <f t="shared" si="24"/>
        <v>0</v>
      </c>
      <c r="V214" s="140">
        <f>($C214*Factores!$J$4*1000*Factores!U$4-Formato!$E214*Factores!$J$5*1000*Factores!U$5)/1000000</f>
        <v>174.7299738486912</v>
      </c>
      <c r="W214" s="140">
        <f>($C214*Factores!$J$4*1000*Factores!V$4-Formato!$E214*Factores!$J$5*1000*Factores!V$5)/1000000</f>
        <v>1.2723174725919739</v>
      </c>
      <c r="X214" s="140">
        <f>($C214*Factores!$J$4*1000*Factores!W$4-Formato!$E214*Factores!$J$5*1000*Factores!W$5)/1000000</f>
        <v>26.245482547970351</v>
      </c>
      <c r="Y214" s="140">
        <f>($C214*Factores!$J$4*1000*Factores!X$4-Formato!$E214*Factores!$J$5*1000*Factores!X$5)/1000000</f>
        <v>0.47639597381023419</v>
      </c>
      <c r="Z214" s="140">
        <f>($C214*Factores!$J$4*1000*Factores!Y$4-Formato!$E214*Factores!$J$5*1000*Factores!Y$5)/1000000</f>
        <v>33.265989731398001</v>
      </c>
      <c r="AA214" s="140">
        <f>($C214*Factores!$J$4*1000*Factores!Z$4-Formato!$E214*Factores!$J$5*1000*Factores!Z$5)/1000000</f>
        <v>32.390000741561209</v>
      </c>
      <c r="AB214" s="140">
        <f>($C214*Factores!$J$4*1000*Factores!AA$4-Formato!$E214*Factores!$J$5*1000*Factores!AA$5)/1000000</f>
        <v>3.2399933007465211</v>
      </c>
    </row>
    <row r="215" spans="2:28" x14ac:dyDescent="0.2">
      <c r="B215" s="151" t="s">
        <v>73</v>
      </c>
      <c r="C215" s="152">
        <f>E215*Factores!$I$14</f>
        <v>4934.988249764182</v>
      </c>
      <c r="D215" s="151" t="s">
        <v>88</v>
      </c>
      <c r="E215" s="152">
        <f t="shared" si="22"/>
        <v>668.63666666666677</v>
      </c>
      <c r="F215" s="153">
        <f>[1]Hoja1!C13/3</f>
        <v>66863.666666666672</v>
      </c>
      <c r="G215" s="154" t="s">
        <v>131</v>
      </c>
      <c r="H215" s="151">
        <v>2013</v>
      </c>
      <c r="I215" s="101" t="s">
        <v>229</v>
      </c>
      <c r="J215" s="155">
        <v>43847</v>
      </c>
      <c r="K215" s="151" t="s">
        <v>197</v>
      </c>
      <c r="L215" s="156"/>
      <c r="M215" s="156"/>
      <c r="N215" s="140">
        <f>((C215*((Factores!$D$7*Factores!$L$4)+Factores!$N$4*Factores!$L$20+Factores!$P$4*Factores!$L$21)*Factores!$J$4)-(E215*(Factores!$L$5+Factores!$N$5*Factores!$L$20+Factores!$P$5*Factores!$L$21)*Factores!$J$5))</f>
        <v>2398.4701808667751</v>
      </c>
      <c r="O215" s="106">
        <f>C215*Factores!$J$4*(Factores!$L$4*Factores!$D$7+Factores!$N$4*Factores!$L$20+Factores!$P$4*Factores!$L$21)</f>
        <v>4395.8901333599424</v>
      </c>
      <c r="P215" s="106">
        <f>E215*Factores!$J$5*(Factores!$L$5+Factores!$N$5*Factores!$L$20+Factores!$P$5*Factores!$L$21)</f>
        <v>1997.4199524931671</v>
      </c>
      <c r="Q215" s="141">
        <f t="shared" si="23"/>
        <v>2398.4701808667751</v>
      </c>
      <c r="R215" s="106">
        <f t="shared" si="24"/>
        <v>0</v>
      </c>
      <c r="V215" s="140">
        <f>($C215*Factores!$J$4*1000*Factores!U$4-Formato!$E215*Factores!$J$5*1000*Factores!U$5)/1000000</f>
        <v>307.12097741261834</v>
      </c>
      <c r="W215" s="140">
        <f>($C215*Factores!$J$4*1000*Factores!V$4-Formato!$E215*Factores!$J$5*1000*Factores!V$5)/1000000</f>
        <v>2.2363386038160611</v>
      </c>
      <c r="X215" s="140">
        <f>($C215*Factores!$J$4*1000*Factores!W$4-Formato!$E215*Factores!$J$5*1000*Factores!W$5)/1000000</f>
        <v>46.131399640559415</v>
      </c>
      <c r="Y215" s="140">
        <f>($C215*Factores!$J$4*1000*Factores!X$4-Formato!$E215*Factores!$J$5*1000*Factores!X$5)/1000000</f>
        <v>0.83735602935953368</v>
      </c>
      <c r="Z215" s="140">
        <f>($C215*Factores!$J$4*1000*Factores!Y$4-Formato!$E215*Factores!$J$5*1000*Factores!Y$5)/1000000</f>
        <v>58.471268872004146</v>
      </c>
      <c r="AA215" s="140">
        <f>($C215*Factores!$J$4*1000*Factores!Z$4-Formato!$E215*Factores!$J$5*1000*Factores!Z$5)/1000000</f>
        <v>56.931552538077717</v>
      </c>
      <c r="AB215" s="140">
        <f>($C215*Factores!$J$4*1000*Factores!AA$4-Formato!$E215*Factores!$J$5*1000*Factores!AA$5)/1000000</f>
        <v>5.6949010373989717</v>
      </c>
    </row>
    <row r="216" spans="2:28" x14ac:dyDescent="0.2">
      <c r="B216" s="151" t="s">
        <v>73</v>
      </c>
      <c r="C216" s="152">
        <f>E216*Factores!$I$14</f>
        <v>5325.2782109003192</v>
      </c>
      <c r="D216" s="151" t="s">
        <v>88</v>
      </c>
      <c r="E216" s="152">
        <f t="shared" si="22"/>
        <v>721.51666666666677</v>
      </c>
      <c r="F216" s="153">
        <f>[1]Hoja1!C14/3</f>
        <v>72151.666666666672</v>
      </c>
      <c r="G216" s="154" t="s">
        <v>131</v>
      </c>
      <c r="H216" s="151">
        <v>2013</v>
      </c>
      <c r="I216" s="101" t="s">
        <v>230</v>
      </c>
      <c r="J216" s="155">
        <v>43847</v>
      </c>
      <c r="K216" s="151" t="s">
        <v>197</v>
      </c>
      <c r="L216" s="156"/>
      <c r="M216" s="156"/>
      <c r="N216" s="140">
        <f>((C216*((Factores!$D$7*Factores!$L$4)+Factores!$N$4*Factores!$L$20+Factores!$P$4*Factores!$L$21)*Factores!$J$4)-(E216*(Factores!$L$5+Factores!$N$5*Factores!$L$20+Factores!$P$5*Factores!$L$21)*Factores!$J$5))</f>
        <v>2588.156313092401</v>
      </c>
      <c r="O216" s="106">
        <f>C216*Factores!$J$4*(Factores!$L$4*Factores!$D$7+Factores!$N$4*Factores!$L$20+Factores!$P$4*Factores!$L$21)</f>
        <v>4743.544819141568</v>
      </c>
      <c r="P216" s="106">
        <f>E216*Factores!$J$5*(Factores!$L$5+Factores!$N$5*Factores!$L$20+Factores!$P$5*Factores!$L$21)</f>
        <v>2155.3885060491671</v>
      </c>
      <c r="Q216" s="141">
        <f t="shared" si="23"/>
        <v>2588.156313092401</v>
      </c>
      <c r="R216" s="106">
        <f t="shared" si="24"/>
        <v>0</v>
      </c>
      <c r="V216" s="140">
        <f>($C216*Factores!$J$4*1000*Factores!U$4-Formato!$E216*Factores!$J$5*1000*Factores!U$5)/1000000</f>
        <v>331.4100391635132</v>
      </c>
      <c r="W216" s="140">
        <f>($C216*Factores!$J$4*1000*Factores!V$4-Formato!$E216*Factores!$J$5*1000*Factores!V$5)/1000000</f>
        <v>2.4132023495022477</v>
      </c>
      <c r="X216" s="140">
        <f>($C216*Factores!$J$4*1000*Factores!W$4-Formato!$E216*Factores!$J$5*1000*Factores!W$5)/1000000</f>
        <v>49.779761351193642</v>
      </c>
      <c r="Y216" s="140">
        <f>($C216*Factores!$J$4*1000*Factores!X$4-Formato!$E216*Factores!$J$5*1000*Factores!X$5)/1000000</f>
        <v>0.9035794194904947</v>
      </c>
      <c r="Z216" s="140">
        <f>($C216*Factores!$J$4*1000*Factores!Y$4-Formato!$E216*Factores!$J$5*1000*Factores!Y$5)/1000000</f>
        <v>63.095545182434172</v>
      </c>
      <c r="AA216" s="140">
        <f>($C216*Factores!$J$4*1000*Factores!Z$4-Formato!$E216*Factores!$J$5*1000*Factores!Z$5)/1000000</f>
        <v>61.434058380633275</v>
      </c>
      <c r="AB216" s="140">
        <f>($C216*Factores!$J$4*1000*Factores!AA$4-Formato!$E216*Factores!$J$5*1000*Factores!AA$5)/1000000</f>
        <v>6.1452896892193278</v>
      </c>
    </row>
    <row r="217" spans="2:28" x14ac:dyDescent="0.2">
      <c r="B217" s="151" t="s">
        <v>73</v>
      </c>
      <c r="C217" s="152">
        <f>E217*Factores!$I$14</f>
        <v>5073.6710858032893</v>
      </c>
      <c r="D217" s="151" t="s">
        <v>88</v>
      </c>
      <c r="E217" s="152">
        <f t="shared" si="22"/>
        <v>687.42666666666673</v>
      </c>
      <c r="F217" s="153">
        <f>[1]Hoja1!C15/3</f>
        <v>68742.666666666672</v>
      </c>
      <c r="G217" s="154" t="s">
        <v>131</v>
      </c>
      <c r="H217" s="151">
        <v>2013</v>
      </c>
      <c r="I217" s="101" t="s">
        <v>231</v>
      </c>
      <c r="J217" s="155">
        <v>43847</v>
      </c>
      <c r="K217" s="151" t="s">
        <v>197</v>
      </c>
      <c r="L217" s="156"/>
      <c r="M217" s="156"/>
      <c r="N217" s="140">
        <f>((C217*((Factores!$D$7*Factores!$L$4)+Factores!$N$4*Factores!$L$20+Factores!$P$4*Factores!$L$21)*Factores!$J$4)-(E217*(Factores!$L$5+Factores!$N$5*Factores!$L$20+Factores!$P$5*Factores!$L$21)*Factores!$J$5))</f>
        <v>2465.871890861471</v>
      </c>
      <c r="O217" s="106">
        <f>C217*Factores!$J$4*(Factores!$L$4*Factores!$D$7+Factores!$N$4*Factores!$L$20+Factores!$P$4*Factores!$L$21)</f>
        <v>4519.4232563901378</v>
      </c>
      <c r="P217" s="106">
        <f>E217*Factores!$J$5*(Factores!$L$5+Factores!$N$5*Factores!$L$20+Factores!$P$5*Factores!$L$21)</f>
        <v>2053.5513655286672</v>
      </c>
      <c r="Q217" s="141">
        <f t="shared" si="23"/>
        <v>2465.8718908614705</v>
      </c>
      <c r="R217" s="106">
        <f t="shared" si="24"/>
        <v>0</v>
      </c>
      <c r="V217" s="140">
        <f>($C217*Factores!$J$4*1000*Factores!U$4-Formato!$E217*Factores!$J$5*1000*Factores!U$5)/1000000</f>
        <v>315.75167843945854</v>
      </c>
      <c r="W217" s="140">
        <f>($C217*Factores!$J$4*1000*Factores!V$4-Formato!$E217*Factores!$J$5*1000*Factores!V$5)/1000000</f>
        <v>2.2991840989265655</v>
      </c>
      <c r="X217" s="140">
        <f>($C217*Factores!$J$4*1000*Factores!W$4-Formato!$E217*Factores!$J$5*1000*Factores!W$5)/1000000</f>
        <v>47.427782328585451</v>
      </c>
      <c r="Y217" s="140">
        <f>($C217*Factores!$J$4*1000*Factores!X$4-Formato!$E217*Factores!$J$5*1000*Factores!X$5)/1000000</f>
        <v>0.8608873739238444</v>
      </c>
      <c r="Z217" s="140">
        <f>($C217*Factores!$J$4*1000*Factores!Y$4-Formato!$E217*Factores!$J$5*1000*Factores!Y$5)/1000000</f>
        <v>60.114426055683801</v>
      </c>
      <c r="AA217" s="140">
        <f>($C217*Factores!$J$4*1000*Factores!Z$4-Formato!$E217*Factores!$J$5*1000*Factores!Z$5)/1000000</f>
        <v>58.531440676913171</v>
      </c>
      <c r="AB217" s="140">
        <f>($C217*Factores!$J$4*1000*Factores!AA$4-Formato!$E217*Factores!$J$5*1000*Factores!AA$5)/1000000</f>
        <v>5.8549389112209171</v>
      </c>
    </row>
    <row r="218" spans="2:28" x14ac:dyDescent="0.2">
      <c r="B218" s="151" t="s">
        <v>73</v>
      </c>
      <c r="C218" s="152">
        <f>E218*Factores!$I$14</f>
        <v>6627.1550309608965</v>
      </c>
      <c r="D218" s="151" t="s">
        <v>88</v>
      </c>
      <c r="E218" s="152">
        <f t="shared" si="22"/>
        <v>897.90666666666675</v>
      </c>
      <c r="F218" s="153">
        <f>[1]Hoja1!C16/3</f>
        <v>89790.666666666672</v>
      </c>
      <c r="G218" s="154" t="s">
        <v>131</v>
      </c>
      <c r="H218" s="151">
        <v>2013</v>
      </c>
      <c r="I218" s="101" t="s">
        <v>232</v>
      </c>
      <c r="J218" s="155">
        <v>43847</v>
      </c>
      <c r="K218" s="151" t="s">
        <v>197</v>
      </c>
      <c r="L218" s="156"/>
      <c r="M218" s="156"/>
      <c r="N218" s="140">
        <f>((C218*((Factores!$D$7*Factores!$L$4)+Factores!$N$4*Factores!$L$20+Factores!$P$4*Factores!$L$21)*Factores!$J$4)-(E218*(Factores!$L$5+Factores!$N$5*Factores!$L$20+Factores!$P$5*Factores!$L$21)*Factores!$J$5))</f>
        <v>3220.8858301740606</v>
      </c>
      <c r="O218" s="106">
        <f>C218*Factores!$J$4*(Factores!$L$4*Factores!$D$7+Factores!$N$4*Factores!$L$20+Factores!$P$4*Factores!$L$21)</f>
        <v>5903.2046153787287</v>
      </c>
      <c r="P218" s="106">
        <f>E218*Factores!$J$5*(Factores!$L$5+Factores!$N$5*Factores!$L$20+Factores!$P$5*Factores!$L$21)</f>
        <v>2682.3187852046672</v>
      </c>
      <c r="Q218" s="141">
        <f t="shared" si="23"/>
        <v>3220.8858301740615</v>
      </c>
      <c r="R218" s="106">
        <f t="shared" si="24"/>
        <v>0</v>
      </c>
      <c r="V218" s="140">
        <f>($C218*Factores!$J$4*1000*Factores!U$4-Formato!$E218*Factores!$J$5*1000*Factores!U$5)/1000000</f>
        <v>412.4302283132933</v>
      </c>
      <c r="W218" s="140">
        <f>($C218*Factores!$J$4*1000*Factores!V$4-Formato!$E218*Factores!$J$5*1000*Factores!V$5)/1000000</f>
        <v>3.003160672149499</v>
      </c>
      <c r="X218" s="140">
        <f>($C218*Factores!$J$4*1000*Factores!W$4-Formato!$E218*Factores!$J$5*1000*Factores!W$5)/1000000</f>
        <v>61.94947621766066</v>
      </c>
      <c r="Y218" s="140">
        <f>($C218*Factores!$J$4*1000*Factores!X$4-Formato!$E218*Factores!$J$5*1000*Factores!X$5)/1000000</f>
        <v>1.1244785077128896</v>
      </c>
      <c r="Z218" s="140">
        <f>($C218*Factores!$J$4*1000*Factores!Y$4-Formato!$E218*Factores!$J$5*1000*Factores!Y$5)/1000000</f>
        <v>78.520584864672387</v>
      </c>
      <c r="AA218" s="140">
        <f>($C218*Factores!$J$4*1000*Factores!Z$4-Formato!$E218*Factores!$J$5*1000*Factores!Z$5)/1000000</f>
        <v>76.452912495012583</v>
      </c>
      <c r="AB218" s="140">
        <f>($C218*Factores!$J$4*1000*Factores!AA$4-Formato!$E218*Factores!$J$5*1000*Factores!AA$5)/1000000</f>
        <v>7.6476356478916596</v>
      </c>
    </row>
    <row r="219" spans="2:28" x14ac:dyDescent="0.2">
      <c r="B219" s="151" t="s">
        <v>73</v>
      </c>
      <c r="C219" s="152">
        <f>E219*Factores!$I$14</f>
        <v>7588.1677933095962</v>
      </c>
      <c r="D219" s="151" t="s">
        <v>88</v>
      </c>
      <c r="E219" s="152">
        <f t="shared" si="22"/>
        <v>1028.1133333333332</v>
      </c>
      <c r="F219" s="153">
        <f>[1]Hoja1!C17/3</f>
        <v>102811.33333333333</v>
      </c>
      <c r="G219" s="154" t="s">
        <v>131</v>
      </c>
      <c r="H219" s="151">
        <v>2013</v>
      </c>
      <c r="I219" s="101" t="s">
        <v>233</v>
      </c>
      <c r="J219" s="155">
        <v>43847</v>
      </c>
      <c r="K219" s="151" t="s">
        <v>197</v>
      </c>
      <c r="L219" s="156"/>
      <c r="M219" s="156"/>
      <c r="N219" s="140">
        <f>((C219*((Factores!$D$7*Factores!$L$4)+Factores!$N$4*Factores!$L$20+Factores!$P$4*Factores!$L$21)*Factores!$J$4)-(E219*(Factores!$L$5+Factores!$N$5*Factores!$L$20+Factores!$P$5*Factores!$L$21)*Factores!$J$5))</f>
        <v>3687.9508640241233</v>
      </c>
      <c r="O219" s="106">
        <f>C219*Factores!$J$4*(Factores!$L$4*Factores!$D$7+Factores!$N$4*Factores!$L$20+Factores!$P$4*Factores!$L$21)</f>
        <v>6759.2363435684556</v>
      </c>
      <c r="P219" s="106">
        <f>E219*Factores!$J$5*(Factores!$L$5+Factores!$N$5*Factores!$L$20+Factores!$P$5*Factores!$L$21)</f>
        <v>3071.2854795443332</v>
      </c>
      <c r="Q219" s="141">
        <f t="shared" si="23"/>
        <v>3687.9508640241224</v>
      </c>
      <c r="R219" s="106">
        <f t="shared" si="24"/>
        <v>0</v>
      </c>
      <c r="V219" s="140">
        <f>($C219*Factores!$J$4*1000*Factores!U$4-Formato!$E219*Factores!$J$5*1000*Factores!U$5)/1000000</f>
        <v>472.23729652518551</v>
      </c>
      <c r="W219" s="140">
        <f>($C219*Factores!$J$4*1000*Factores!V$4-Formato!$E219*Factores!$J$5*1000*Factores!V$5)/1000000</f>
        <v>3.4386530847814858</v>
      </c>
      <c r="X219" s="140">
        <f>($C219*Factores!$J$4*1000*Factores!W$4-Formato!$E219*Factores!$J$5*1000*Factores!W$5)/1000000</f>
        <v>70.932854000111149</v>
      </c>
      <c r="Y219" s="140">
        <f>($C219*Factores!$J$4*1000*Factores!X$4-Formato!$E219*Factores!$J$5*1000*Factores!X$5)/1000000</f>
        <v>1.2875406651319268</v>
      </c>
      <c r="Z219" s="140">
        <f>($C219*Factores!$J$4*1000*Factores!Y$4-Formato!$E219*Factores!$J$5*1000*Factores!Y$5)/1000000</f>
        <v>89.906961644678574</v>
      </c>
      <c r="AA219" s="140">
        <f>($C219*Factores!$J$4*1000*Factores!Z$4-Formato!$E219*Factores!$J$5*1000*Factores!Z$5)/1000000</f>
        <v>87.539453293165977</v>
      </c>
      <c r="AB219" s="140">
        <f>($C219*Factores!$J$4*1000*Factores!AA$4-Formato!$E219*Factores!$J$5*1000*Factores!AA$5)/1000000</f>
        <v>8.7566296921053972</v>
      </c>
    </row>
    <row r="220" spans="2:28" x14ac:dyDescent="0.2">
      <c r="B220" s="151" t="s">
        <v>73</v>
      </c>
      <c r="C220" s="152">
        <f>E220*Factores!$I$14</f>
        <v>7670.363882578119</v>
      </c>
      <c r="D220" s="151" t="s">
        <v>88</v>
      </c>
      <c r="E220" s="152">
        <f t="shared" si="22"/>
        <v>1039.25</v>
      </c>
      <c r="F220" s="153">
        <f>[1]Hoja1!C18/3</f>
        <v>103925</v>
      </c>
      <c r="G220" s="154" t="s">
        <v>131</v>
      </c>
      <c r="H220" s="151">
        <v>2013</v>
      </c>
      <c r="I220" s="101" t="s">
        <v>234</v>
      </c>
      <c r="J220" s="155">
        <v>43847</v>
      </c>
      <c r="K220" s="151" t="s">
        <v>197</v>
      </c>
      <c r="L220" s="156"/>
      <c r="M220" s="156"/>
      <c r="N220" s="140">
        <f>((C220*((Factores!$D$7*Factores!$L$4)+Factores!$N$4*Factores!$L$20+Factores!$P$4*Factores!$L$21)*Factores!$J$4)-(E220*(Factores!$L$5+Factores!$N$5*Factores!$L$20+Factores!$P$5*Factores!$L$21)*Factores!$J$5))</f>
        <v>3727.8992608827843</v>
      </c>
      <c r="O220" s="106">
        <f>C220*Factores!$J$4*(Factores!$L$4*Factores!$D$7+Factores!$N$4*Factores!$L$20+Factores!$P$4*Factores!$L$21)</f>
        <v>6832.4533320452847</v>
      </c>
      <c r="P220" s="106">
        <f>E220*Factores!$J$5*(Factores!$L$5+Factores!$N$5*Factores!$L$20+Factores!$P$5*Factores!$L$21)</f>
        <v>3104.5540711625003</v>
      </c>
      <c r="Q220" s="141">
        <f t="shared" si="23"/>
        <v>3727.8992608827843</v>
      </c>
      <c r="R220" s="106">
        <f t="shared" si="24"/>
        <v>0</v>
      </c>
      <c r="V220" s="140">
        <f>($C220*Factores!$J$4*1000*Factores!U$4-Formato!$E220*Factores!$J$5*1000*Factores!U$5)/1000000</f>
        <v>477.35263662287463</v>
      </c>
      <c r="W220" s="140">
        <f>($C220*Factores!$J$4*1000*Factores!V$4-Formato!$E220*Factores!$J$5*1000*Factores!V$5)/1000000</f>
        <v>3.4759010534109329</v>
      </c>
      <c r="X220" s="140">
        <f>($C220*Factores!$J$4*1000*Factores!W$4-Formato!$E220*Factores!$J$5*1000*Factores!W$5)/1000000</f>
        <v>71.701208543431193</v>
      </c>
      <c r="Y220" s="140">
        <f>($C220*Factores!$J$4*1000*Factores!X$4-Formato!$E220*Factores!$J$5*1000*Factores!X$5)/1000000</f>
        <v>1.3014874847504052</v>
      </c>
      <c r="Z220" s="140">
        <f>($C220*Factores!$J$4*1000*Factores!Y$4-Formato!$E220*Factores!$J$5*1000*Factores!Y$5)/1000000</f>
        <v>90.880846361846181</v>
      </c>
      <c r="AA220" s="140">
        <f>($C220*Factores!$J$4*1000*Factores!Z$4-Formato!$E220*Factores!$J$5*1000*Factores!Z$5)/1000000</f>
        <v>88.487692830481791</v>
      </c>
      <c r="AB220" s="140">
        <f>($C220*Factores!$J$4*1000*Factores!AA$4-Formato!$E220*Factores!$J$5*1000*Factores!AA$5)/1000000</f>
        <v>8.8514827232281803</v>
      </c>
    </row>
    <row r="221" spans="2:28" x14ac:dyDescent="0.2">
      <c r="B221" s="151" t="s">
        <v>73</v>
      </c>
      <c r="C221" s="152">
        <f>E221*Factores!$I$14</f>
        <v>8498.6721536025452</v>
      </c>
      <c r="D221" s="151" t="s">
        <v>88</v>
      </c>
      <c r="E221" s="152">
        <f t="shared" si="22"/>
        <v>1151.4766666666667</v>
      </c>
      <c r="F221" s="153">
        <f>[1]Hoja1!C19/3</f>
        <v>115147.66666666667</v>
      </c>
      <c r="G221" s="154" t="s">
        <v>131</v>
      </c>
      <c r="H221" s="151">
        <v>2013</v>
      </c>
      <c r="I221" s="101" t="s">
        <v>235</v>
      </c>
      <c r="J221" s="155">
        <v>43847</v>
      </c>
      <c r="K221" s="151" t="s">
        <v>197</v>
      </c>
      <c r="L221" s="156"/>
      <c r="M221" s="156"/>
      <c r="N221" s="140">
        <f>((C221*((Factores!$D$7*Factores!$L$4)+Factores!$N$4*Factores!$L$20+Factores!$P$4*Factores!$L$21)*Factores!$J$4)-(E221*(Factores!$L$5+Factores!$N$5*Factores!$L$20+Factores!$P$5*Factores!$L$21)*Factores!$J$5))</f>
        <v>4130.4681400918362</v>
      </c>
      <c r="O221" s="106">
        <f>C221*Factores!$J$4*(Factores!$L$4*Factores!$D$7+Factores!$N$4*Factores!$L$20+Factores!$P$4*Factores!$L$21)</f>
        <v>7570.277207543003</v>
      </c>
      <c r="P221" s="106">
        <f>E221*Factores!$J$5*(Factores!$L$5+Factores!$N$5*Factores!$L$20+Factores!$P$5*Factores!$L$21)</f>
        <v>3439.8090674511668</v>
      </c>
      <c r="Q221" s="141">
        <f t="shared" si="23"/>
        <v>4130.4681400918362</v>
      </c>
      <c r="R221" s="106">
        <f t="shared" si="24"/>
        <v>0</v>
      </c>
      <c r="V221" s="140">
        <f>($C221*Factores!$J$4*1000*Factores!U$4-Formato!$E221*Factores!$J$5*1000*Factores!U$5)/1000000</f>
        <v>528.90105638013199</v>
      </c>
      <c r="W221" s="140">
        <f>($C221*Factores!$J$4*1000*Factores!V$4-Formato!$E221*Factores!$J$5*1000*Factores!V$5)/1000000</f>
        <v>3.8512571168099843</v>
      </c>
      <c r="X221" s="140">
        <f>($C221*Factores!$J$4*1000*Factores!W$4-Formato!$E221*Factores!$J$5*1000*Factores!W$5)/1000000</f>
        <v>79.444088149686465</v>
      </c>
      <c r="Y221" s="140">
        <f>($C221*Factores!$J$4*1000*Factores!X$4-Formato!$E221*Factores!$J$5*1000*Factores!X$5)/1000000</f>
        <v>1.4420326876581964</v>
      </c>
      <c r="Z221" s="140">
        <f>($C221*Factores!$J$4*1000*Factores!Y$4-Formato!$E221*Factores!$J$5*1000*Factores!Y$5)/1000000</f>
        <v>100.69489923751176</v>
      </c>
      <c r="AA221" s="140">
        <f>($C221*Factores!$J$4*1000*Factores!Z$4-Formato!$E221*Factores!$J$5*1000*Factores!Z$5)/1000000</f>
        <v>98.043313525587763</v>
      </c>
      <c r="AB221" s="140">
        <f>($C221*Factores!$J$4*1000*Factores!AA$4-Formato!$E221*Factores!$J$5*1000*Factores!AA$5)/1000000</f>
        <v>9.8073378120763763</v>
      </c>
    </row>
    <row r="222" spans="2:28" x14ac:dyDescent="0.2">
      <c r="B222" s="151" t="s">
        <v>73</v>
      </c>
      <c r="C222" s="152">
        <f>E222*Factores!$I$14</f>
        <v>8904.8551628283149</v>
      </c>
      <c r="D222" s="151" t="s">
        <v>88</v>
      </c>
      <c r="E222" s="152">
        <f t="shared" si="22"/>
        <v>1206.51</v>
      </c>
      <c r="F222" s="153">
        <f>[1]Hoja1!C20/3</f>
        <v>120651</v>
      </c>
      <c r="G222" s="154" t="s">
        <v>131</v>
      </c>
      <c r="H222" s="151">
        <v>2013</v>
      </c>
      <c r="I222" s="101" t="s">
        <v>236</v>
      </c>
      <c r="J222" s="155">
        <v>43847</v>
      </c>
      <c r="K222" s="151" t="s">
        <v>197</v>
      </c>
      <c r="L222" s="156"/>
      <c r="M222" s="156"/>
      <c r="N222" s="140">
        <f>((C222*((Factores!$D$7*Factores!$L$4)+Factores!$N$4*Factores!$L$20+Factores!$P$4*Factores!$L$21)*Factores!$J$4)-(E222*(Factores!$L$5+Factores!$N$5*Factores!$L$20+Factores!$P$5*Factores!$L$21)*Factores!$J$5))</f>
        <v>4327.8785058914509</v>
      </c>
      <c r="O222" s="106">
        <f>C222*Factores!$J$4*(Factores!$L$4*Factores!$D$7+Factores!$N$4*Factores!$L$20+Factores!$P$4*Factores!$L$21)</f>
        <v>7932.0887848409493</v>
      </c>
      <c r="P222" s="106">
        <f>E222*Factores!$J$5*(Factores!$L$5+Factores!$N$5*Factores!$L$20+Factores!$P$5*Factores!$L$21)</f>
        <v>3604.2102789495002</v>
      </c>
      <c r="Q222" s="141">
        <f t="shared" si="23"/>
        <v>4327.8785058914491</v>
      </c>
      <c r="R222" s="106">
        <f t="shared" si="24"/>
        <v>0</v>
      </c>
      <c r="V222" s="140">
        <f>($C222*Factores!$J$4*1000*Factores!U$4-Formato!$E222*Factores!$J$5*1000*Factores!U$5)/1000000</f>
        <v>554.17919616248685</v>
      </c>
      <c r="W222" s="140">
        <f>($C222*Factores!$J$4*1000*Factores!V$4-Formato!$E222*Factores!$J$5*1000*Factores!V$5)/1000000</f>
        <v>4.0353229540060855</v>
      </c>
      <c r="X222" s="140">
        <f>($C222*Factores!$J$4*1000*Factores!W$4-Formato!$E222*Factores!$J$5*1000*Factores!W$5)/1000000</f>
        <v>83.241015270373026</v>
      </c>
      <c r="Y222" s="140">
        <f>($C222*Factores!$J$4*1000*Factores!X$4-Formato!$E222*Factores!$J$5*1000*Factores!X$5)/1000000</f>
        <v>1.5109527690413387</v>
      </c>
      <c r="Z222" s="140">
        <f>($C222*Factores!$J$4*1000*Factores!Y$4-Formato!$E222*Factores!$J$5*1000*Factores!Y$5)/1000000</f>
        <v>105.5074813028925</v>
      </c>
      <c r="AA222" s="140">
        <f>($C222*Factores!$J$4*1000*Factores!Z$4-Formato!$E222*Factores!$J$5*1000*Factores!Z$5)/1000000</f>
        <v>102.72916649209007</v>
      </c>
      <c r="AB222" s="140">
        <f>($C222*Factores!$J$4*1000*Factores!AA$4-Formato!$E222*Factores!$J$5*1000*Factores!AA$5)/1000000</f>
        <v>10.276066798558606</v>
      </c>
    </row>
    <row r="223" spans="2:28" x14ac:dyDescent="0.2">
      <c r="B223" s="151" t="s">
        <v>73</v>
      </c>
      <c r="C223" s="152">
        <f>E223*Factores!$I$14</f>
        <v>10848.186228772813</v>
      </c>
      <c r="D223" s="151" t="s">
        <v>88</v>
      </c>
      <c r="E223" s="152">
        <f t="shared" si="22"/>
        <v>1469.81</v>
      </c>
      <c r="F223" s="153">
        <f>[1]Hoja1!C21/3</f>
        <v>146981</v>
      </c>
      <c r="G223" s="154" t="s">
        <v>131</v>
      </c>
      <c r="H223" s="151">
        <v>2013</v>
      </c>
      <c r="I223" s="101" t="s">
        <v>237</v>
      </c>
      <c r="J223" s="155">
        <v>43847</v>
      </c>
      <c r="K223" s="151" t="s">
        <v>197</v>
      </c>
      <c r="L223" s="156"/>
      <c r="M223" s="156"/>
      <c r="N223" s="140">
        <f>((C223*((Factores!$D$7*Factores!$L$4)+Factores!$N$4*Factores!$L$20+Factores!$P$4*Factores!$L$21)*Factores!$J$4)-(E223*(Factores!$L$5+Factores!$N$5*Factores!$L$20+Factores!$P$5*Factores!$L$21)*Factores!$J$5))</f>
        <v>5272.3633511071694</v>
      </c>
      <c r="O223" s="106">
        <f>C223*Factores!$J$4*(Factores!$L$4*Factores!$D$7+Factores!$N$4*Factores!$L$20+Factores!$P$4*Factores!$L$21)</f>
        <v>9663.1303651416711</v>
      </c>
      <c r="P223" s="106">
        <f>E223*Factores!$J$5*(Factores!$L$5+Factores!$N$5*Factores!$L$20+Factores!$P$5*Factores!$L$21)</f>
        <v>4390.7670140344999</v>
      </c>
      <c r="Q223" s="141">
        <f t="shared" si="23"/>
        <v>5272.3633511071712</v>
      </c>
      <c r="R223" s="106">
        <f t="shared" si="24"/>
        <v>0</v>
      </c>
      <c r="V223" s="140">
        <f>($C223*Factores!$J$4*1000*Factores!U$4-Formato!$E223*Factores!$J$5*1000*Factores!U$5)/1000000</f>
        <v>675.11924833742341</v>
      </c>
      <c r="W223" s="140">
        <f>($C223*Factores!$J$4*1000*Factores!V$4-Formato!$E223*Factores!$J$5*1000*Factores!V$5)/1000000</f>
        <v>4.9159625954427923</v>
      </c>
      <c r="X223" s="140">
        <f>($C223*Factores!$J$4*1000*Factores!W$4-Formato!$E223*Factores!$J$5*1000*Factores!W$5)/1000000</f>
        <v>101.40693127661352</v>
      </c>
      <c r="Y223" s="140">
        <f>($C223*Factores!$J$4*1000*Factores!X$4-Formato!$E223*Factores!$J$5*1000*Factores!X$5)/1000000</f>
        <v>1.8406921529574145</v>
      </c>
      <c r="Z223" s="140">
        <f>($C223*Factores!$J$4*1000*Factores!Y$4-Formato!$E223*Factores!$J$5*1000*Factores!Y$5)/1000000</f>
        <v>128.53266951273045</v>
      </c>
      <c r="AA223" s="140">
        <f>($C223*Factores!$J$4*1000*Factores!Z$4-Formato!$E223*Factores!$J$5*1000*Factores!Z$5)/1000000</f>
        <v>125.14803540935334</v>
      </c>
      <c r="AB223" s="140">
        <f>($C223*Factores!$J$4*1000*Factores!AA$4-Formato!$E223*Factores!$J$5*1000*Factores!AA$5)/1000000</f>
        <v>12.518641156052936</v>
      </c>
    </row>
    <row r="224" spans="2:28" x14ac:dyDescent="0.2">
      <c r="B224" s="151" t="s">
        <v>73</v>
      </c>
      <c r="C224" s="138">
        <f>E224*Factores!$I$14</f>
        <v>2152.8929601047103</v>
      </c>
      <c r="D224" s="151" t="s">
        <v>88</v>
      </c>
      <c r="E224" s="138">
        <f t="shared" si="22"/>
        <v>291.69333333333333</v>
      </c>
      <c r="F224" s="139">
        <f>[1]Hoja1!C10/3</f>
        <v>29169.333333333332</v>
      </c>
      <c r="G224" s="101" t="s">
        <v>132</v>
      </c>
      <c r="H224" s="151">
        <v>2013</v>
      </c>
      <c r="I224" s="101" t="s">
        <v>226</v>
      </c>
      <c r="J224" s="155">
        <v>43847</v>
      </c>
      <c r="K224" s="151" t="s">
        <v>197</v>
      </c>
      <c r="L224" s="112"/>
      <c r="M224" s="112"/>
      <c r="N224" s="140">
        <f>((C224*((Factores!$E$7*Factores!$L$4)+Factores!$N$4*Factores!$L$20+Factores!$P$4*Factores!$L$21)*Factores!$J$4)-(E224*(Factores!$L$5+Factores!$N$5*Factores!$L$20+Factores!$P$5*Factores!$L$21)*Factores!$J$5))</f>
        <v>594.95057424014453</v>
      </c>
      <c r="O224" s="106">
        <f>C224*Factores!$J$4*(Factores!$L$4*Factores!$E$7+Factores!$N$4*Factores!$L$20+Factores!$P$4*Factores!$L$21)</f>
        <v>1466.326783555478</v>
      </c>
      <c r="P224" s="106">
        <f>E224*Factores!$J$5*(Factores!$L$5+Factores!$N$5*Factores!$L$20+Factores!$P$5*Factores!$L$21)</f>
        <v>871.37620931533331</v>
      </c>
      <c r="Q224" s="141">
        <f t="shared" ref="Q224" si="25">O224-P224</f>
        <v>594.95057424014465</v>
      </c>
      <c r="R224" s="106">
        <f t="shared" si="24"/>
        <v>0</v>
      </c>
      <c r="V224" s="140">
        <f>($C224*Factores!$J$4*1000*Factores!U$4-Formato!$E224*Factores!$J$5*1000*Factores!U$5)/1000000</f>
        <v>133.98179624920058</v>
      </c>
      <c r="W224" s="140">
        <f>($C224*Factores!$J$4*1000*Factores!V$4-Formato!$E224*Factores!$J$5*1000*Factores!V$5)/1000000</f>
        <v>0.97560468088167396</v>
      </c>
      <c r="X224" s="140">
        <f>($C224*Factores!$J$4*1000*Factores!W$4-Formato!$E224*Factores!$J$5*1000*Factores!W$5)/1000000</f>
        <v>20.124863626713424</v>
      </c>
      <c r="Y224" s="140">
        <f>($C224*Factores!$J$4*1000*Factores!X$4-Formato!$E224*Factores!$J$5*1000*Factores!X$5)/1000000</f>
        <v>0.36529730355396833</v>
      </c>
      <c r="Z224" s="140">
        <f>($C224*Factores!$J$4*1000*Factores!Y$4-Formato!$E224*Factores!$J$5*1000*Factores!Y$5)/1000000</f>
        <v>25.508142421401445</v>
      </c>
      <c r="AA224" s="140">
        <f>($C224*Factores!$J$4*1000*Factores!Z$4-Formato!$E224*Factores!$J$5*1000*Factores!Z$5)/1000000</f>
        <v>24.836439817848774</v>
      </c>
      <c r="AB224" s="140">
        <f>($C224*Factores!$J$4*1000*Factores!AA$4-Formato!$E224*Factores!$J$5*1000*Factores!AA$5)/1000000</f>
        <v>2.4844055814104773</v>
      </c>
    </row>
    <row r="225" spans="2:28" x14ac:dyDescent="0.2">
      <c r="B225" s="151" t="s">
        <v>73</v>
      </c>
      <c r="C225" s="138">
        <f>E225*Factores!$I$14</f>
        <v>2495.1101411059503</v>
      </c>
      <c r="D225" s="151" t="s">
        <v>88</v>
      </c>
      <c r="E225" s="138">
        <f t="shared" si="22"/>
        <v>338.06</v>
      </c>
      <c r="F225" s="139">
        <f>[1]Hoja1!C11/3</f>
        <v>33806</v>
      </c>
      <c r="G225" s="101" t="s">
        <v>132</v>
      </c>
      <c r="H225" s="151">
        <v>2013</v>
      </c>
      <c r="I225" s="101" t="s">
        <v>227</v>
      </c>
      <c r="J225" s="155">
        <v>43847</v>
      </c>
      <c r="K225" s="151" t="s">
        <v>197</v>
      </c>
      <c r="L225" s="112"/>
      <c r="M225" s="112"/>
      <c r="N225" s="140">
        <f>((C225*((Factores!$E$7*Factores!$L$4)+Factores!$N$4*Factores!$L$20+Factores!$P$4*Factores!$L$21)*Factores!$J$4)-(E225*(Factores!$L$5+Factores!$N$5*Factores!$L$20+Factores!$P$5*Factores!$L$21)*Factores!$J$5))</f>
        <v>689.52207041969837</v>
      </c>
      <c r="O225" s="106">
        <f>C225*Factores!$J$4*(Factores!$L$4*Factores!$E$7+Factores!$N$4*Factores!$L$20+Factores!$P$4*Factores!$L$21)</f>
        <v>1699.4095366666984</v>
      </c>
      <c r="P225" s="106">
        <f>E225*Factores!$J$5*(Factores!$L$5+Factores!$N$5*Factores!$L$20+Factores!$P$5*Factores!$L$21)</f>
        <v>1009.8874662470001</v>
      </c>
      <c r="Q225" s="141">
        <f t="shared" ref="Q225:Q235" si="26">O225-P225</f>
        <v>689.52207041969825</v>
      </c>
      <c r="R225" s="106">
        <f t="shared" si="24"/>
        <v>0</v>
      </c>
      <c r="V225" s="140">
        <f>($C225*Factores!$J$4*1000*Factores!U$4-Formato!$E225*Factores!$J$5*1000*Factores!U$5)/1000000</f>
        <v>155.27912661701131</v>
      </c>
      <c r="W225" s="140">
        <f>($C225*Factores!$J$4*1000*Factores!V$4-Formato!$E225*Factores!$J$5*1000*Factores!V$5)/1000000</f>
        <v>1.1306837720626413</v>
      </c>
      <c r="X225" s="140">
        <f>($C225*Factores!$J$4*1000*Factores!W$4-Formato!$E225*Factores!$J$5*1000*Factores!W$5)/1000000</f>
        <v>23.3238494685517</v>
      </c>
      <c r="Y225" s="140">
        <f>($C225*Factores!$J$4*1000*Factores!X$4-Formato!$E225*Factores!$J$5*1000*Factores!X$5)/1000000</f>
        <v>0.4233638288137811</v>
      </c>
      <c r="Z225" s="140">
        <f>($C225*Factores!$J$4*1000*Factores!Y$4-Formato!$E225*Factores!$J$5*1000*Factores!Y$5)/1000000</f>
        <v>29.562837547352149</v>
      </c>
      <c r="AA225" s="140">
        <f>($C225*Factores!$J$4*1000*Factores!Z$4-Formato!$E225*Factores!$J$5*1000*Factores!Z$5)/1000000</f>
        <v>28.784363183327095</v>
      </c>
      <c r="AB225" s="140">
        <f>($C225*Factores!$J$4*1000*Factores!AA$4-Formato!$E225*Factores!$J$5*1000*Factores!AA$5)/1000000</f>
        <v>2.8793189794703093</v>
      </c>
    </row>
    <row r="226" spans="2:28" x14ac:dyDescent="0.2">
      <c r="B226" s="151" t="s">
        <v>73</v>
      </c>
      <c r="C226" s="138">
        <f>E226*Factores!$I$14</f>
        <v>2807.6570187076582</v>
      </c>
      <c r="D226" s="151" t="s">
        <v>88</v>
      </c>
      <c r="E226" s="138">
        <f t="shared" si="22"/>
        <v>380.40666666666664</v>
      </c>
      <c r="F226" s="139">
        <f>[1]Hoja1!C12/3</f>
        <v>38040.666666666664</v>
      </c>
      <c r="G226" s="101" t="s">
        <v>132</v>
      </c>
      <c r="H226" s="151">
        <v>2013</v>
      </c>
      <c r="I226" s="101" t="s">
        <v>228</v>
      </c>
      <c r="J226" s="155">
        <v>43847</v>
      </c>
      <c r="K226" s="151" t="s">
        <v>197</v>
      </c>
      <c r="L226" s="112"/>
      <c r="M226" s="112"/>
      <c r="N226" s="140">
        <f>((C226*((Factores!$E$7*Factores!$L$4)+Factores!$N$4*Factores!$L$20+Factores!$P$4*Factores!$L$21)*Factores!$J$4)-(E226*(Factores!$L$5+Factores!$N$5*Factores!$L$20+Factores!$P$5*Factores!$L$21)*Factores!$J$5))</f>
        <v>775.89419748404453</v>
      </c>
      <c r="O226" s="106">
        <f>C226*Factores!$J$4*(Factores!$L$4*Factores!$E$7+Factores!$N$4*Factores!$L$20+Factores!$P$4*Factores!$L$21)</f>
        <v>1912.2839648137112</v>
      </c>
      <c r="P226" s="106">
        <f>E226*Factores!$J$5*(Factores!$L$5+Factores!$N$5*Factores!$L$20+Factores!$P$5*Factores!$L$21)</f>
        <v>1136.3897673296665</v>
      </c>
      <c r="Q226" s="141">
        <f t="shared" si="26"/>
        <v>775.89419748404475</v>
      </c>
      <c r="R226" s="106">
        <f t="shared" si="24"/>
        <v>0</v>
      </c>
      <c r="V226" s="140">
        <f>($C226*Factores!$J$4*1000*Factores!U$4-Formato!$E226*Factores!$J$5*1000*Factores!U$5)/1000000</f>
        <v>174.7299738486912</v>
      </c>
      <c r="W226" s="140">
        <f>($C226*Factores!$J$4*1000*Factores!V$4-Formato!$E226*Factores!$J$5*1000*Factores!V$5)/1000000</f>
        <v>1.2723174725919739</v>
      </c>
      <c r="X226" s="140">
        <f>($C226*Factores!$J$4*1000*Factores!W$4-Formato!$E226*Factores!$J$5*1000*Factores!W$5)/1000000</f>
        <v>26.245482547970351</v>
      </c>
      <c r="Y226" s="140">
        <f>($C226*Factores!$J$4*1000*Factores!X$4-Formato!$E226*Factores!$J$5*1000*Factores!X$5)/1000000</f>
        <v>0.47639597381023419</v>
      </c>
      <c r="Z226" s="140">
        <f>($C226*Factores!$J$4*1000*Factores!Y$4-Formato!$E226*Factores!$J$5*1000*Factores!Y$5)/1000000</f>
        <v>33.265989731398001</v>
      </c>
      <c r="AA226" s="140">
        <f>($C226*Factores!$J$4*1000*Factores!Z$4-Formato!$E226*Factores!$J$5*1000*Factores!Z$5)/1000000</f>
        <v>32.390000741561209</v>
      </c>
      <c r="AB226" s="140">
        <f>($C226*Factores!$J$4*1000*Factores!AA$4-Formato!$E226*Factores!$J$5*1000*Factores!AA$5)/1000000</f>
        <v>3.2399933007465211</v>
      </c>
    </row>
    <row r="227" spans="2:28" x14ac:dyDescent="0.2">
      <c r="B227" s="151" t="s">
        <v>73</v>
      </c>
      <c r="C227" s="138">
        <f>E227*Factores!$I$14</f>
        <v>4934.988249764182</v>
      </c>
      <c r="D227" s="151" t="s">
        <v>88</v>
      </c>
      <c r="E227" s="138">
        <f t="shared" si="22"/>
        <v>668.63666666666677</v>
      </c>
      <c r="F227" s="139">
        <f>[1]Hoja1!C13/3</f>
        <v>66863.666666666672</v>
      </c>
      <c r="G227" s="101" t="s">
        <v>132</v>
      </c>
      <c r="H227" s="151">
        <v>2013</v>
      </c>
      <c r="I227" s="101" t="s">
        <v>229</v>
      </c>
      <c r="J227" s="155">
        <v>43847</v>
      </c>
      <c r="K227" s="151" t="s">
        <v>197</v>
      </c>
      <c r="L227" s="112"/>
      <c r="M227" s="112"/>
      <c r="N227" s="140">
        <f>((C227*((Factores!$E$7*Factores!$L$4)+Factores!$N$4*Factores!$L$20+Factores!$P$4*Factores!$L$21)*Factores!$J$4)-(E227*(Factores!$L$5+Factores!$N$5*Factores!$L$20+Factores!$P$5*Factores!$L$21)*Factores!$J$5))</f>
        <v>1363.7808044682181</v>
      </c>
      <c r="O227" s="106">
        <f>C227*Factores!$J$4*(Factores!$L$4*Factores!$E$7+Factores!$N$4*Factores!$L$20+Factores!$P$4*Factores!$L$21)</f>
        <v>3361.2007569613857</v>
      </c>
      <c r="P227" s="106">
        <f>E227*Factores!$J$5*(Factores!$L$5+Factores!$N$5*Factores!$L$20+Factores!$P$5*Factores!$L$21)</f>
        <v>1997.4199524931671</v>
      </c>
      <c r="Q227" s="141">
        <f t="shared" si="26"/>
        <v>1363.7808044682185</v>
      </c>
      <c r="R227" s="106">
        <f t="shared" si="24"/>
        <v>0</v>
      </c>
      <c r="V227" s="140">
        <f>($C227*Factores!$J$4*1000*Factores!U$4-Formato!$E227*Factores!$J$5*1000*Factores!U$5)/1000000</f>
        <v>307.12097741261834</v>
      </c>
      <c r="W227" s="140">
        <f>($C227*Factores!$J$4*1000*Factores!V$4-Formato!$E227*Factores!$J$5*1000*Factores!V$5)/1000000</f>
        <v>2.2363386038160611</v>
      </c>
      <c r="X227" s="140">
        <f>($C227*Factores!$J$4*1000*Factores!W$4-Formato!$E227*Factores!$J$5*1000*Factores!W$5)/1000000</f>
        <v>46.131399640559415</v>
      </c>
      <c r="Y227" s="140">
        <f>($C227*Factores!$J$4*1000*Factores!X$4-Formato!$E227*Factores!$J$5*1000*Factores!X$5)/1000000</f>
        <v>0.83735602935953368</v>
      </c>
      <c r="Z227" s="140">
        <f>($C227*Factores!$J$4*1000*Factores!Y$4-Formato!$E227*Factores!$J$5*1000*Factores!Y$5)/1000000</f>
        <v>58.471268872004146</v>
      </c>
      <c r="AA227" s="140">
        <f>($C227*Factores!$J$4*1000*Factores!Z$4-Formato!$E227*Factores!$J$5*1000*Factores!Z$5)/1000000</f>
        <v>56.931552538077717</v>
      </c>
      <c r="AB227" s="140">
        <f>($C227*Factores!$J$4*1000*Factores!AA$4-Formato!$E227*Factores!$J$5*1000*Factores!AA$5)/1000000</f>
        <v>5.6949010373989717</v>
      </c>
    </row>
    <row r="228" spans="2:28" x14ac:dyDescent="0.2">
      <c r="B228" s="151" t="s">
        <v>73</v>
      </c>
      <c r="C228" s="138">
        <f>E228*Factores!$I$14</f>
        <v>5325.2782109003192</v>
      </c>
      <c r="D228" s="151" t="s">
        <v>88</v>
      </c>
      <c r="E228" s="138">
        <f t="shared" si="22"/>
        <v>721.51666666666677</v>
      </c>
      <c r="F228" s="139">
        <f>[1]Hoja1!C14/3</f>
        <v>72151.666666666672</v>
      </c>
      <c r="G228" s="101" t="s">
        <v>132</v>
      </c>
      <c r="H228" s="151">
        <v>2013</v>
      </c>
      <c r="I228" s="101" t="s">
        <v>230</v>
      </c>
      <c r="J228" s="155">
        <v>43847</v>
      </c>
      <c r="K228" s="151" t="s">
        <v>197</v>
      </c>
      <c r="L228" s="112"/>
      <c r="M228" s="112"/>
      <c r="N228" s="140">
        <f>((C228*((Factores!$E$7*Factores!$L$4)+Factores!$N$4*Factores!$L$20+Factores!$P$4*Factores!$L$21)*Factores!$J$4)-(E228*(Factores!$L$5+Factores!$N$5*Factores!$L$20+Factores!$P$5*Factores!$L$21)*Factores!$J$5))</f>
        <v>1471.637182282197</v>
      </c>
      <c r="O228" s="106">
        <f>C228*Factores!$J$4*(Factores!$L$4*Factores!$E$7+Factores!$N$4*Factores!$L$20+Factores!$P$4*Factores!$L$21)</f>
        <v>3627.0256883313637</v>
      </c>
      <c r="P228" s="106">
        <f>E228*Factores!$J$5*(Factores!$L$5+Factores!$N$5*Factores!$L$20+Factores!$P$5*Factores!$L$21)</f>
        <v>2155.3885060491671</v>
      </c>
      <c r="Q228" s="141">
        <f t="shared" si="26"/>
        <v>1471.6371822821966</v>
      </c>
      <c r="R228" s="106">
        <f t="shared" si="24"/>
        <v>0</v>
      </c>
      <c r="V228" s="140">
        <f>($C228*Factores!$J$4*1000*Factores!U$4-Formato!$E228*Factores!$J$5*1000*Factores!U$5)/1000000</f>
        <v>331.4100391635132</v>
      </c>
      <c r="W228" s="140">
        <f>($C228*Factores!$J$4*1000*Factores!V$4-Formato!$E228*Factores!$J$5*1000*Factores!V$5)/1000000</f>
        <v>2.4132023495022477</v>
      </c>
      <c r="X228" s="140">
        <f>($C228*Factores!$J$4*1000*Factores!W$4-Formato!$E228*Factores!$J$5*1000*Factores!W$5)/1000000</f>
        <v>49.779761351193642</v>
      </c>
      <c r="Y228" s="140">
        <f>($C228*Factores!$J$4*1000*Factores!X$4-Formato!$E228*Factores!$J$5*1000*Factores!X$5)/1000000</f>
        <v>0.9035794194904947</v>
      </c>
      <c r="Z228" s="140">
        <f>($C228*Factores!$J$4*1000*Factores!Y$4-Formato!$E228*Factores!$J$5*1000*Factores!Y$5)/1000000</f>
        <v>63.095545182434172</v>
      </c>
      <c r="AA228" s="140">
        <f>($C228*Factores!$J$4*1000*Factores!Z$4-Formato!$E228*Factores!$J$5*1000*Factores!Z$5)/1000000</f>
        <v>61.434058380633275</v>
      </c>
      <c r="AB228" s="140">
        <f>($C228*Factores!$J$4*1000*Factores!AA$4-Formato!$E228*Factores!$J$5*1000*Factores!AA$5)/1000000</f>
        <v>6.1452896892193278</v>
      </c>
    </row>
    <row r="229" spans="2:28" x14ac:dyDescent="0.2">
      <c r="B229" s="151" t="s">
        <v>73</v>
      </c>
      <c r="C229" s="138">
        <f>E229*Factores!$I$14</f>
        <v>5073.6710858032893</v>
      </c>
      <c r="D229" s="151" t="s">
        <v>88</v>
      </c>
      <c r="E229" s="138">
        <f t="shared" si="22"/>
        <v>687.42666666666673</v>
      </c>
      <c r="F229" s="139">
        <f>[1]Hoja1!C15/3</f>
        <v>68742.666666666672</v>
      </c>
      <c r="G229" s="101" t="s">
        <v>132</v>
      </c>
      <c r="H229" s="151">
        <v>2013</v>
      </c>
      <c r="I229" s="101" t="s">
        <v>231</v>
      </c>
      <c r="J229" s="155">
        <v>43847</v>
      </c>
      <c r="K229" s="151" t="s">
        <v>197</v>
      </c>
      <c r="L229" s="112"/>
      <c r="M229" s="112"/>
      <c r="N229" s="140">
        <f>((C229*((Factores!$E$7*Factores!$L$4)+Factores!$N$4*Factores!$L$20+Factores!$P$4*Factores!$L$21)*Factores!$J$4)-(E229*(Factores!$L$5+Factores!$N$5*Factores!$L$20+Factores!$P$5*Factores!$L$21)*Factores!$J$5))</f>
        <v>1402.1057163276105</v>
      </c>
      <c r="O229" s="106">
        <f>C229*Factores!$J$4*(Factores!$L$4*Factores!$E$7+Factores!$N$4*Factores!$L$20+Factores!$P$4*Factores!$L$21)</f>
        <v>3455.6570818562773</v>
      </c>
      <c r="P229" s="106">
        <f>E229*Factores!$J$5*(Factores!$L$5+Factores!$N$5*Factores!$L$20+Factores!$P$5*Factores!$L$21)</f>
        <v>2053.5513655286672</v>
      </c>
      <c r="Q229" s="141">
        <f t="shared" si="26"/>
        <v>1402.10571632761</v>
      </c>
      <c r="R229" s="106">
        <f t="shared" si="24"/>
        <v>0</v>
      </c>
      <c r="V229" s="140">
        <f>($C229*Factores!$J$4*1000*Factores!U$4-Formato!$E229*Factores!$J$5*1000*Factores!U$5)/1000000</f>
        <v>315.75167843945854</v>
      </c>
      <c r="W229" s="140">
        <f>($C229*Factores!$J$4*1000*Factores!V$4-Formato!$E229*Factores!$J$5*1000*Factores!V$5)/1000000</f>
        <v>2.2991840989265655</v>
      </c>
      <c r="X229" s="140">
        <f>($C229*Factores!$J$4*1000*Factores!W$4-Formato!$E229*Factores!$J$5*1000*Factores!W$5)/1000000</f>
        <v>47.427782328585451</v>
      </c>
      <c r="Y229" s="140">
        <f>($C229*Factores!$J$4*1000*Factores!X$4-Formato!$E229*Factores!$J$5*1000*Factores!X$5)/1000000</f>
        <v>0.8608873739238444</v>
      </c>
      <c r="Z229" s="140">
        <f>($C229*Factores!$J$4*1000*Factores!Y$4-Formato!$E229*Factores!$J$5*1000*Factores!Y$5)/1000000</f>
        <v>60.114426055683801</v>
      </c>
      <c r="AA229" s="140">
        <f>($C229*Factores!$J$4*1000*Factores!Z$4-Formato!$E229*Factores!$J$5*1000*Factores!Z$5)/1000000</f>
        <v>58.531440676913171</v>
      </c>
      <c r="AB229" s="140">
        <f>($C229*Factores!$J$4*1000*Factores!AA$4-Formato!$E229*Factores!$J$5*1000*Factores!AA$5)/1000000</f>
        <v>5.8549389112209171</v>
      </c>
    </row>
    <row r="230" spans="2:28" x14ac:dyDescent="0.2">
      <c r="B230" s="151" t="s">
        <v>73</v>
      </c>
      <c r="C230" s="138">
        <f>E230*Factores!$I$14</f>
        <v>6627.1550309608965</v>
      </c>
      <c r="D230" s="151" t="s">
        <v>88</v>
      </c>
      <c r="E230" s="138">
        <f t="shared" si="22"/>
        <v>897.90666666666675</v>
      </c>
      <c r="F230" s="139">
        <f>[1]Hoja1!C16/3</f>
        <v>89790.666666666672</v>
      </c>
      <c r="G230" s="101" t="s">
        <v>132</v>
      </c>
      <c r="H230" s="151">
        <v>2013</v>
      </c>
      <c r="I230" s="101" t="s">
        <v>232</v>
      </c>
      <c r="J230" s="155">
        <v>43847</v>
      </c>
      <c r="K230" s="151" t="s">
        <v>197</v>
      </c>
      <c r="L230" s="112"/>
      <c r="M230" s="112"/>
      <c r="N230" s="140">
        <f>((C230*((Factores!$E$7*Factores!$L$4)+Factores!$N$4*Factores!$L$20+Factores!$P$4*Factores!$L$21)*Factores!$J$4)-(E230*(Factores!$L$5+Factores!$N$5*Factores!$L$20+Factores!$P$5*Factores!$L$21)*Factores!$J$5))</f>
        <v>1831.4099977626752</v>
      </c>
      <c r="O230" s="106">
        <f>C230*Factores!$J$4*(Factores!$L$4*Factores!$E$7+Factores!$N$4*Factores!$L$20+Factores!$P$4*Factores!$L$21)</f>
        <v>4513.7287829673432</v>
      </c>
      <c r="P230" s="106">
        <f>E230*Factores!$J$5*(Factores!$L$5+Factores!$N$5*Factores!$L$20+Factores!$P$5*Factores!$L$21)</f>
        <v>2682.3187852046672</v>
      </c>
      <c r="Q230" s="141">
        <f t="shared" si="26"/>
        <v>1831.4099977626761</v>
      </c>
      <c r="R230" s="106">
        <f t="shared" si="24"/>
        <v>0</v>
      </c>
      <c r="V230" s="140">
        <f>($C230*Factores!$J$4*1000*Factores!U$4-Formato!$E230*Factores!$J$5*1000*Factores!U$5)/1000000</f>
        <v>412.4302283132933</v>
      </c>
      <c r="W230" s="140">
        <f>($C230*Factores!$J$4*1000*Factores!V$4-Formato!$E230*Factores!$J$5*1000*Factores!V$5)/1000000</f>
        <v>3.003160672149499</v>
      </c>
      <c r="X230" s="140">
        <f>($C230*Factores!$J$4*1000*Factores!W$4-Formato!$E230*Factores!$J$5*1000*Factores!W$5)/1000000</f>
        <v>61.94947621766066</v>
      </c>
      <c r="Y230" s="140">
        <f>($C230*Factores!$J$4*1000*Factores!X$4-Formato!$E230*Factores!$J$5*1000*Factores!X$5)/1000000</f>
        <v>1.1244785077128896</v>
      </c>
      <c r="Z230" s="140">
        <f>($C230*Factores!$J$4*1000*Factores!Y$4-Formato!$E230*Factores!$J$5*1000*Factores!Y$5)/1000000</f>
        <v>78.520584864672387</v>
      </c>
      <c r="AA230" s="140">
        <f>($C230*Factores!$J$4*1000*Factores!Z$4-Formato!$E230*Factores!$J$5*1000*Factores!Z$5)/1000000</f>
        <v>76.452912495012583</v>
      </c>
      <c r="AB230" s="140">
        <f>($C230*Factores!$J$4*1000*Factores!AA$4-Formato!$E230*Factores!$J$5*1000*Factores!AA$5)/1000000</f>
        <v>7.6476356478916596</v>
      </c>
    </row>
    <row r="231" spans="2:28" x14ac:dyDescent="0.2">
      <c r="B231" s="151" t="s">
        <v>73</v>
      </c>
      <c r="C231" s="138">
        <f>E231*Factores!$I$14</f>
        <v>7588.1677933095962</v>
      </c>
      <c r="D231" s="151" t="s">
        <v>88</v>
      </c>
      <c r="E231" s="138">
        <f t="shared" si="22"/>
        <v>1028.1133333333332</v>
      </c>
      <c r="F231" s="139">
        <f>[1]Hoja1!C17/3</f>
        <v>102811.33333333333</v>
      </c>
      <c r="G231" s="101" t="s">
        <v>132</v>
      </c>
      <c r="H231" s="151">
        <v>2013</v>
      </c>
      <c r="I231" s="101" t="s">
        <v>233</v>
      </c>
      <c r="J231" s="155">
        <v>43847</v>
      </c>
      <c r="K231" s="151" t="s">
        <v>197</v>
      </c>
      <c r="L231" s="112"/>
      <c r="M231" s="112"/>
      <c r="N231" s="140">
        <f>((C231*((Factores!$E$7*Factores!$L$4)+Factores!$N$4*Factores!$L$20+Factores!$P$4*Factores!$L$21)*Factores!$J$4)-(E231*(Factores!$L$5+Factores!$N$5*Factores!$L$20+Factores!$P$5*Factores!$L$21)*Factores!$J$5))</f>
        <v>2096.98525180766</v>
      </c>
      <c r="O231" s="106">
        <f>C231*Factores!$J$4*(Factores!$L$4*Factores!$E$7+Factores!$N$4*Factores!$L$20+Factores!$P$4*Factores!$L$21)</f>
        <v>5168.2707313519932</v>
      </c>
      <c r="P231" s="106">
        <f>E231*Factores!$J$5*(Factores!$L$5+Factores!$N$5*Factores!$L$20+Factores!$P$5*Factores!$L$21)</f>
        <v>3071.2854795443332</v>
      </c>
      <c r="Q231" s="141">
        <f t="shared" si="26"/>
        <v>2096.98525180766</v>
      </c>
      <c r="R231" s="106">
        <f t="shared" si="24"/>
        <v>0</v>
      </c>
      <c r="V231" s="140">
        <f>($C231*Factores!$J$4*1000*Factores!U$4-Formato!$E231*Factores!$J$5*1000*Factores!U$5)/1000000</f>
        <v>472.23729652518551</v>
      </c>
      <c r="W231" s="140">
        <f>($C231*Factores!$J$4*1000*Factores!V$4-Formato!$E231*Factores!$J$5*1000*Factores!V$5)/1000000</f>
        <v>3.4386530847814858</v>
      </c>
      <c r="X231" s="140">
        <f>($C231*Factores!$J$4*1000*Factores!W$4-Formato!$E231*Factores!$J$5*1000*Factores!W$5)/1000000</f>
        <v>70.932854000111149</v>
      </c>
      <c r="Y231" s="140">
        <f>($C231*Factores!$J$4*1000*Factores!X$4-Formato!$E231*Factores!$J$5*1000*Factores!X$5)/1000000</f>
        <v>1.2875406651319268</v>
      </c>
      <c r="Z231" s="140">
        <f>($C231*Factores!$J$4*1000*Factores!Y$4-Formato!$E231*Factores!$J$5*1000*Factores!Y$5)/1000000</f>
        <v>89.906961644678574</v>
      </c>
      <c r="AA231" s="140">
        <f>($C231*Factores!$J$4*1000*Factores!Z$4-Formato!$E231*Factores!$J$5*1000*Factores!Z$5)/1000000</f>
        <v>87.539453293165977</v>
      </c>
      <c r="AB231" s="140">
        <f>($C231*Factores!$J$4*1000*Factores!AA$4-Formato!$E231*Factores!$J$5*1000*Factores!AA$5)/1000000</f>
        <v>8.7566296921053972</v>
      </c>
    </row>
    <row r="232" spans="2:28" x14ac:dyDescent="0.2">
      <c r="B232" s="151" t="s">
        <v>73</v>
      </c>
      <c r="C232" s="138">
        <f>E232*Factores!$I$14</f>
        <v>7670.363882578119</v>
      </c>
      <c r="D232" s="151" t="s">
        <v>88</v>
      </c>
      <c r="E232" s="138">
        <f t="shared" si="22"/>
        <v>1039.25</v>
      </c>
      <c r="F232" s="139">
        <f>[1]Hoja1!C18/3</f>
        <v>103925</v>
      </c>
      <c r="G232" s="101" t="s">
        <v>132</v>
      </c>
      <c r="H232" s="151">
        <v>2013</v>
      </c>
      <c r="I232" s="101" t="s">
        <v>234</v>
      </c>
      <c r="J232" s="155">
        <v>43847</v>
      </c>
      <c r="K232" s="151" t="s">
        <v>197</v>
      </c>
      <c r="L232" s="112"/>
      <c r="M232" s="112"/>
      <c r="N232" s="140">
        <f>((C232*((Factores!$E$7*Factores!$L$4)+Factores!$N$4*Factores!$L$20+Factores!$P$4*Factores!$L$21)*Factores!$J$4)-(E232*(Factores!$L$5+Factores!$N$5*Factores!$L$20+Factores!$P$5*Factores!$L$21)*Factores!$J$5))</f>
        <v>2119.7000878059266</v>
      </c>
      <c r="O232" s="106">
        <f>C232*Factores!$J$4*(Factores!$L$4*Factores!$E$7+Factores!$N$4*Factores!$L$20+Factores!$P$4*Factores!$L$21)</f>
        <v>5224.254158968427</v>
      </c>
      <c r="P232" s="106">
        <f>E232*Factores!$J$5*(Factores!$L$5+Factores!$N$5*Factores!$L$20+Factores!$P$5*Factores!$L$21)</f>
        <v>3104.5540711625003</v>
      </c>
      <c r="Q232" s="141">
        <f t="shared" si="26"/>
        <v>2119.7000878059266</v>
      </c>
      <c r="R232" s="106">
        <f t="shared" si="24"/>
        <v>0</v>
      </c>
      <c r="V232" s="140">
        <f>($C232*Factores!$J$4*1000*Factores!U$4-Formato!$E232*Factores!$J$5*1000*Factores!U$5)/1000000</f>
        <v>477.35263662287463</v>
      </c>
      <c r="W232" s="140">
        <f>($C232*Factores!$J$4*1000*Factores!V$4-Formato!$E232*Factores!$J$5*1000*Factores!V$5)/1000000</f>
        <v>3.4759010534109329</v>
      </c>
      <c r="X232" s="140">
        <f>($C232*Factores!$J$4*1000*Factores!W$4-Formato!$E232*Factores!$J$5*1000*Factores!W$5)/1000000</f>
        <v>71.701208543431193</v>
      </c>
      <c r="Y232" s="140">
        <f>($C232*Factores!$J$4*1000*Factores!X$4-Formato!$E232*Factores!$J$5*1000*Factores!X$5)/1000000</f>
        <v>1.3014874847504052</v>
      </c>
      <c r="Z232" s="140">
        <f>($C232*Factores!$J$4*1000*Factores!Y$4-Formato!$E232*Factores!$J$5*1000*Factores!Y$5)/1000000</f>
        <v>90.880846361846181</v>
      </c>
      <c r="AA232" s="140">
        <f>($C232*Factores!$J$4*1000*Factores!Z$4-Formato!$E232*Factores!$J$5*1000*Factores!Z$5)/1000000</f>
        <v>88.487692830481791</v>
      </c>
      <c r="AB232" s="140">
        <f>($C232*Factores!$J$4*1000*Factores!AA$4-Formato!$E232*Factores!$J$5*1000*Factores!AA$5)/1000000</f>
        <v>8.8514827232281803</v>
      </c>
    </row>
    <row r="233" spans="2:28" x14ac:dyDescent="0.2">
      <c r="B233" s="151" t="s">
        <v>73</v>
      </c>
      <c r="C233" s="138">
        <f>E233*Factores!$I$14</f>
        <v>8498.6721536025452</v>
      </c>
      <c r="D233" s="151" t="s">
        <v>88</v>
      </c>
      <c r="E233" s="138">
        <f t="shared" si="22"/>
        <v>1151.4766666666667</v>
      </c>
      <c r="F233" s="139">
        <f>[1]Hoja1!C19/3</f>
        <v>115147.66666666667</v>
      </c>
      <c r="G233" s="101" t="s">
        <v>132</v>
      </c>
      <c r="H233" s="151">
        <v>2013</v>
      </c>
      <c r="I233" s="101" t="s">
        <v>235</v>
      </c>
      <c r="J233" s="155">
        <v>43847</v>
      </c>
      <c r="K233" s="151" t="s">
        <v>197</v>
      </c>
      <c r="L233" s="112"/>
      <c r="M233" s="112"/>
      <c r="N233" s="140">
        <f>((C233*((Factores!$E$7*Factores!$L$4)+Factores!$N$4*Factores!$L$20+Factores!$P$4*Factores!$L$21)*Factores!$J$4)-(E233*(Factores!$L$5+Factores!$N$5*Factores!$L$20+Factores!$P$5*Factores!$L$21)*Factores!$J$5))</f>
        <v>2348.6025416789134</v>
      </c>
      <c r="O233" s="106">
        <f>C233*Factores!$J$4*(Factores!$L$4*Factores!$E$7+Factores!$N$4*Factores!$L$20+Factores!$P$4*Factores!$L$21)</f>
        <v>5788.4116091300793</v>
      </c>
      <c r="P233" s="106">
        <f>E233*Factores!$J$5*(Factores!$L$5+Factores!$N$5*Factores!$L$20+Factores!$P$5*Factores!$L$21)</f>
        <v>3439.8090674511668</v>
      </c>
      <c r="Q233" s="141">
        <f t="shared" si="26"/>
        <v>2348.6025416789125</v>
      </c>
      <c r="R233" s="106">
        <f t="shared" si="24"/>
        <v>0</v>
      </c>
      <c r="V233" s="140">
        <f>($C233*Factores!$J$4*1000*Factores!U$4-Formato!$E233*Factores!$J$5*1000*Factores!U$5)/1000000</f>
        <v>528.90105638013199</v>
      </c>
      <c r="W233" s="140">
        <f>($C233*Factores!$J$4*1000*Factores!V$4-Formato!$E233*Factores!$J$5*1000*Factores!V$5)/1000000</f>
        <v>3.8512571168099843</v>
      </c>
      <c r="X233" s="140">
        <f>($C233*Factores!$J$4*1000*Factores!W$4-Formato!$E233*Factores!$J$5*1000*Factores!W$5)/1000000</f>
        <v>79.444088149686465</v>
      </c>
      <c r="Y233" s="140">
        <f>($C233*Factores!$J$4*1000*Factores!X$4-Formato!$E233*Factores!$J$5*1000*Factores!X$5)/1000000</f>
        <v>1.4420326876581964</v>
      </c>
      <c r="Z233" s="140">
        <f>($C233*Factores!$J$4*1000*Factores!Y$4-Formato!$E233*Factores!$J$5*1000*Factores!Y$5)/1000000</f>
        <v>100.69489923751176</v>
      </c>
      <c r="AA233" s="140">
        <f>($C233*Factores!$J$4*1000*Factores!Z$4-Formato!$E233*Factores!$J$5*1000*Factores!Z$5)/1000000</f>
        <v>98.043313525587763</v>
      </c>
      <c r="AB233" s="140">
        <f>($C233*Factores!$J$4*1000*Factores!AA$4-Formato!$E233*Factores!$J$5*1000*Factores!AA$5)/1000000</f>
        <v>9.8073378120763763</v>
      </c>
    </row>
    <row r="234" spans="2:28" x14ac:dyDescent="0.2">
      <c r="B234" s="151" t="s">
        <v>73</v>
      </c>
      <c r="C234" s="138">
        <f>E234*Factores!$I$14</f>
        <v>8904.8551628283149</v>
      </c>
      <c r="D234" s="151" t="s">
        <v>88</v>
      </c>
      <c r="E234" s="138">
        <f t="shared" si="22"/>
        <v>1206.51</v>
      </c>
      <c r="F234" s="139">
        <f>[1]Hoja1!C20/3</f>
        <v>120651</v>
      </c>
      <c r="G234" s="101" t="s">
        <v>132</v>
      </c>
      <c r="H234" s="151">
        <v>2013</v>
      </c>
      <c r="I234" s="101" t="s">
        <v>236</v>
      </c>
      <c r="J234" s="155">
        <v>43847</v>
      </c>
      <c r="K234" s="151" t="s">
        <v>197</v>
      </c>
      <c r="L234" s="112"/>
      <c r="M234" s="112"/>
      <c r="N234" s="140">
        <f>((C234*((Factores!$E$7*Factores!$L$4)+Factores!$N$4*Factores!$L$20+Factores!$P$4*Factores!$L$21)*Factores!$J$4)-(E234*(Factores!$L$5+Factores!$N$5*Factores!$L$20+Factores!$P$5*Factores!$L$21)*Factores!$J$5))</f>
        <v>2460.8509530322149</v>
      </c>
      <c r="O234" s="106">
        <f>C234*Factores!$J$4*(Factores!$L$4*Factores!$E$7+Factores!$N$4*Factores!$L$20+Factores!$P$4*Factores!$L$21)</f>
        <v>6065.0612319817137</v>
      </c>
      <c r="P234" s="106">
        <f>E234*Factores!$J$5*(Factores!$L$5+Factores!$N$5*Factores!$L$20+Factores!$P$5*Factores!$L$21)</f>
        <v>3604.2102789495002</v>
      </c>
      <c r="Q234" s="141">
        <f t="shared" si="26"/>
        <v>2460.8509530322135</v>
      </c>
      <c r="R234" s="106">
        <f t="shared" si="24"/>
        <v>0</v>
      </c>
      <c r="V234" s="140">
        <f>($C234*Factores!$J$4*1000*Factores!U$4-Formato!$E234*Factores!$J$5*1000*Factores!U$5)/1000000</f>
        <v>554.17919616248685</v>
      </c>
      <c r="W234" s="140">
        <f>($C234*Factores!$J$4*1000*Factores!V$4-Formato!$E234*Factores!$J$5*1000*Factores!V$5)/1000000</f>
        <v>4.0353229540060855</v>
      </c>
      <c r="X234" s="140">
        <f>($C234*Factores!$J$4*1000*Factores!W$4-Formato!$E234*Factores!$J$5*1000*Factores!W$5)/1000000</f>
        <v>83.241015270373026</v>
      </c>
      <c r="Y234" s="140">
        <f>($C234*Factores!$J$4*1000*Factores!X$4-Formato!$E234*Factores!$J$5*1000*Factores!X$5)/1000000</f>
        <v>1.5109527690413387</v>
      </c>
      <c r="Z234" s="140">
        <f>($C234*Factores!$J$4*1000*Factores!Y$4-Formato!$E234*Factores!$J$5*1000*Factores!Y$5)/1000000</f>
        <v>105.5074813028925</v>
      </c>
      <c r="AA234" s="140">
        <f>($C234*Factores!$J$4*1000*Factores!Z$4-Formato!$E234*Factores!$J$5*1000*Factores!Z$5)/1000000</f>
        <v>102.72916649209007</v>
      </c>
      <c r="AB234" s="140">
        <f>($C234*Factores!$J$4*1000*Factores!AA$4-Formato!$E234*Factores!$J$5*1000*Factores!AA$5)/1000000</f>
        <v>10.276066798558606</v>
      </c>
    </row>
    <row r="235" spans="2:28" x14ac:dyDescent="0.2">
      <c r="B235" s="151" t="s">
        <v>73</v>
      </c>
      <c r="C235" s="138">
        <f>E235*Factores!$I$14</f>
        <v>10848.186228772813</v>
      </c>
      <c r="D235" s="151" t="s">
        <v>88</v>
      </c>
      <c r="E235" s="138">
        <f t="shared" si="22"/>
        <v>1469.81</v>
      </c>
      <c r="F235" s="139">
        <f>[1]Hoja1!C21/3</f>
        <v>146981</v>
      </c>
      <c r="G235" s="101" t="s">
        <v>132</v>
      </c>
      <c r="H235" s="151">
        <v>2013</v>
      </c>
      <c r="I235" s="101" t="s">
        <v>237</v>
      </c>
      <c r="J235" s="155">
        <v>43847</v>
      </c>
      <c r="K235" s="151" t="s">
        <v>197</v>
      </c>
      <c r="L235" s="112"/>
      <c r="M235" s="112"/>
      <c r="N235" s="140">
        <f>((C235*((Factores!$E$7*Factores!$L$4)+Factores!$N$4*Factores!$L$20+Factores!$P$4*Factores!$L$21)*Factores!$J$4)-(E235*(Factores!$L$5+Factores!$N$5*Factores!$L$20+Factores!$P$5*Factores!$L$21)*Factores!$J$5))</f>
        <v>2997.8892336377485</v>
      </c>
      <c r="O235" s="106">
        <f>C235*Factores!$J$4*(Factores!$L$4*Factores!$E$7+Factores!$N$4*Factores!$L$20+Factores!$P$4*Factores!$L$21)</f>
        <v>7388.6562476722484</v>
      </c>
      <c r="P235" s="106">
        <f>E235*Factores!$J$5*(Factores!$L$5+Factores!$N$5*Factores!$L$20+Factores!$P$5*Factores!$L$21)</f>
        <v>4390.7670140344999</v>
      </c>
      <c r="Q235" s="141">
        <f t="shared" si="26"/>
        <v>2997.8892336377485</v>
      </c>
      <c r="R235" s="106">
        <f t="shared" si="24"/>
        <v>0</v>
      </c>
      <c r="V235" s="140">
        <f>($C235*Factores!$J$4*1000*Factores!U$4-Formato!$E235*Factores!$J$5*1000*Factores!U$5)/1000000</f>
        <v>675.11924833742341</v>
      </c>
      <c r="W235" s="140">
        <f>($C235*Factores!$J$4*1000*Factores!V$4-Formato!$E235*Factores!$J$5*1000*Factores!V$5)/1000000</f>
        <v>4.9159625954427923</v>
      </c>
      <c r="X235" s="140">
        <f>($C235*Factores!$J$4*1000*Factores!W$4-Formato!$E235*Factores!$J$5*1000*Factores!W$5)/1000000</f>
        <v>101.40693127661352</v>
      </c>
      <c r="Y235" s="140">
        <f>($C235*Factores!$J$4*1000*Factores!X$4-Formato!$E235*Factores!$J$5*1000*Factores!X$5)/1000000</f>
        <v>1.8406921529574145</v>
      </c>
      <c r="Z235" s="140">
        <f>($C235*Factores!$J$4*1000*Factores!Y$4-Formato!$E235*Factores!$J$5*1000*Factores!Y$5)/1000000</f>
        <v>128.53266951273045</v>
      </c>
      <c r="AA235" s="140">
        <f>($C235*Factores!$J$4*1000*Factores!Z$4-Formato!$E235*Factores!$J$5*1000*Factores!Z$5)/1000000</f>
        <v>125.14803540935334</v>
      </c>
      <c r="AB235" s="140">
        <f>($C235*Factores!$J$4*1000*Factores!AA$4-Formato!$E235*Factores!$J$5*1000*Factores!AA$5)/1000000</f>
        <v>12.518641156052936</v>
      </c>
    </row>
    <row r="236" spans="2:28" x14ac:dyDescent="0.2">
      <c r="B236" s="151" t="s">
        <v>73</v>
      </c>
      <c r="C236" s="138">
        <f>E236*Factores!$I$14</f>
        <v>2152.8929601047103</v>
      </c>
      <c r="D236" s="151" t="s">
        <v>88</v>
      </c>
      <c r="E236" s="138">
        <f t="shared" si="22"/>
        <v>291.69333333333333</v>
      </c>
      <c r="F236" s="139">
        <f>[1]Hoja1!C10/3</f>
        <v>29169.333333333332</v>
      </c>
      <c r="G236" s="101" t="s">
        <v>133</v>
      </c>
      <c r="H236" s="151">
        <v>2013</v>
      </c>
      <c r="I236" s="101" t="s">
        <v>226</v>
      </c>
      <c r="J236" s="155">
        <v>43847</v>
      </c>
      <c r="K236" s="151" t="s">
        <v>197</v>
      </c>
      <c r="L236" s="112"/>
      <c r="M236" s="112"/>
      <c r="N236" s="140">
        <f>((C236*((Factores!$F$7*Factores!$L$4)+Factores!$N$4*Factores!$L$20+Factores!$P$4*Factores!$L$21)*Factores!$J$4)-(E236*(Factores!$L$5+Factores!$N$5*Factores!$L$20+Factores!$P$5*Factores!$L$21)*Factores!$J$5))</f>
        <v>181.18177045169978</v>
      </c>
      <c r="O236" s="106">
        <f>C236*Factores!$J$4*(Factores!$L$4*Factores!$F$7+Factores!$N$4*Factores!$L$20+Factores!$P$4*Factores!$L$21)</f>
        <v>1052.5579797670332</v>
      </c>
      <c r="P236" s="106">
        <f>E236*Factores!$J$5*(Factores!$L$5+Factores!$N$5*Factores!$L$20+Factores!$P$5*Factores!$L$21)</f>
        <v>871.37620931533331</v>
      </c>
      <c r="Q236" s="141">
        <f t="shared" ref="Q236" si="27">O236-P236</f>
        <v>181.18177045169989</v>
      </c>
      <c r="R236" s="106">
        <f t="shared" si="24"/>
        <v>0</v>
      </c>
      <c r="V236" s="140">
        <f>($C236*Factores!$J$4*1000*Factores!U$4-Formato!$E236*Factores!$J$5*1000*Factores!U$5)/1000000</f>
        <v>133.98179624920058</v>
      </c>
      <c r="W236" s="140">
        <f>($C236*Factores!$J$4*1000*Factores!V$4-Formato!$E236*Factores!$J$5*1000*Factores!V$5)/1000000</f>
        <v>0.97560468088167396</v>
      </c>
      <c r="X236" s="140">
        <f>($C236*Factores!$J$4*1000*Factores!W$4-Formato!$E236*Factores!$J$5*1000*Factores!W$5)/1000000</f>
        <v>20.124863626713424</v>
      </c>
      <c r="Y236" s="140">
        <f>($C236*Factores!$J$4*1000*Factores!X$4-Formato!$E236*Factores!$J$5*1000*Factores!X$5)/1000000</f>
        <v>0.36529730355396833</v>
      </c>
      <c r="Z236" s="140">
        <f>($C236*Factores!$J$4*1000*Factores!Y$4-Formato!$E236*Factores!$J$5*1000*Factores!Y$5)/1000000</f>
        <v>25.508142421401445</v>
      </c>
      <c r="AA236" s="140">
        <f>($C236*Factores!$J$4*1000*Factores!Z$4-Formato!$E236*Factores!$J$5*1000*Factores!Z$5)/1000000</f>
        <v>24.836439817848774</v>
      </c>
      <c r="AB236" s="140">
        <f>($C236*Factores!$J$4*1000*Factores!AA$4-Formato!$E236*Factores!$J$5*1000*Factores!AA$5)/1000000</f>
        <v>2.4844055814104773</v>
      </c>
    </row>
    <row r="237" spans="2:28" x14ac:dyDescent="0.2">
      <c r="B237" s="151" t="s">
        <v>73</v>
      </c>
      <c r="C237" s="138">
        <f>E237*Factores!$I$14</f>
        <v>2495.1101411059503</v>
      </c>
      <c r="D237" s="151" t="s">
        <v>88</v>
      </c>
      <c r="E237" s="138">
        <f t="shared" si="22"/>
        <v>338.06</v>
      </c>
      <c r="F237" s="139">
        <f>[1]Hoja1!C11/3</f>
        <v>33806</v>
      </c>
      <c r="G237" s="101" t="s">
        <v>133</v>
      </c>
      <c r="H237" s="151">
        <v>2013</v>
      </c>
      <c r="I237" s="101" t="s">
        <v>227</v>
      </c>
      <c r="J237" s="155">
        <v>43847</v>
      </c>
      <c r="K237" s="151" t="s">
        <v>197</v>
      </c>
      <c r="L237" s="112"/>
      <c r="M237" s="112"/>
      <c r="N237" s="140">
        <f>((C237*((Factores!$F$7*Factores!$L$4)+Factores!$N$4*Factores!$L$20+Factores!$P$4*Factores!$L$21)*Factores!$J$4)-(E237*(Factores!$L$5+Factores!$N$5*Factores!$L$20+Factores!$P$5*Factores!$L$21)*Factores!$J$5))</f>
        <v>209.98186218026353</v>
      </c>
      <c r="O237" s="106">
        <f>C237*Factores!$J$4*(Factores!$L$4*Factores!$F$7+Factores!$N$4*Factores!$L$20+Factores!$P$4*Factores!$L$21)</f>
        <v>1219.8693284272636</v>
      </c>
      <c r="P237" s="106">
        <f>E237*Factores!$J$5*(Factores!$L$5+Factores!$N$5*Factores!$L$20+Factores!$P$5*Factores!$L$21)</f>
        <v>1009.8874662470001</v>
      </c>
      <c r="Q237" s="141">
        <f t="shared" ref="Q237:Q247" si="28">O237-P237</f>
        <v>209.98186218026342</v>
      </c>
      <c r="R237" s="106">
        <f t="shared" si="24"/>
        <v>0</v>
      </c>
      <c r="V237" s="140">
        <f>($C237*Factores!$J$4*1000*Factores!U$4-Formato!$E237*Factores!$J$5*1000*Factores!U$5)/1000000</f>
        <v>155.27912661701131</v>
      </c>
      <c r="W237" s="140">
        <f>($C237*Factores!$J$4*1000*Factores!V$4-Formato!$E237*Factores!$J$5*1000*Factores!V$5)/1000000</f>
        <v>1.1306837720626413</v>
      </c>
      <c r="X237" s="140">
        <f>($C237*Factores!$J$4*1000*Factores!W$4-Formato!$E237*Factores!$J$5*1000*Factores!W$5)/1000000</f>
        <v>23.3238494685517</v>
      </c>
      <c r="Y237" s="140">
        <f>($C237*Factores!$J$4*1000*Factores!X$4-Formato!$E237*Factores!$J$5*1000*Factores!X$5)/1000000</f>
        <v>0.4233638288137811</v>
      </c>
      <c r="Z237" s="140">
        <f>($C237*Factores!$J$4*1000*Factores!Y$4-Formato!$E237*Factores!$J$5*1000*Factores!Y$5)/1000000</f>
        <v>29.562837547352149</v>
      </c>
      <c r="AA237" s="140">
        <f>($C237*Factores!$J$4*1000*Factores!Z$4-Formato!$E237*Factores!$J$5*1000*Factores!Z$5)/1000000</f>
        <v>28.784363183327095</v>
      </c>
      <c r="AB237" s="140">
        <f>($C237*Factores!$J$4*1000*Factores!AA$4-Formato!$E237*Factores!$J$5*1000*Factores!AA$5)/1000000</f>
        <v>2.8793189794703093</v>
      </c>
    </row>
    <row r="238" spans="2:28" x14ac:dyDescent="0.2">
      <c r="B238" s="151" t="s">
        <v>73</v>
      </c>
      <c r="C238" s="138">
        <f>E238*Factores!$I$14</f>
        <v>2807.6570187076582</v>
      </c>
      <c r="D238" s="151" t="s">
        <v>88</v>
      </c>
      <c r="E238" s="138">
        <f t="shared" si="22"/>
        <v>380.40666666666664</v>
      </c>
      <c r="F238" s="139">
        <f>[1]Hoja1!C12/3</f>
        <v>38040.666666666664</v>
      </c>
      <c r="G238" s="101" t="s">
        <v>133</v>
      </c>
      <c r="H238" s="151">
        <v>2013</v>
      </c>
      <c r="I238" s="101" t="s">
        <v>228</v>
      </c>
      <c r="J238" s="155">
        <v>43847</v>
      </c>
      <c r="K238" s="151" t="s">
        <v>197</v>
      </c>
      <c r="L238" s="112"/>
      <c r="M238" s="112"/>
      <c r="N238" s="140">
        <f>((C238*((Factores!$F$7*Factores!$L$4)+Factores!$N$4*Factores!$L$20+Factores!$P$4*Factores!$L$21)*Factores!$J$4)-(E238*(Factores!$L$5+Factores!$N$5*Factores!$L$20+Factores!$P$5*Factores!$L$21)*Factores!$J$5))</f>
        <v>236.28497974458196</v>
      </c>
      <c r="O238" s="106">
        <f>C238*Factores!$J$4*(Factores!$L$4*Factores!$F$7+Factores!$N$4*Factores!$L$20+Factores!$P$4*Factores!$L$21)</f>
        <v>1372.6747470742489</v>
      </c>
      <c r="P238" s="106">
        <f>E238*Factores!$J$5*(Factores!$L$5+Factores!$N$5*Factores!$L$20+Factores!$P$5*Factores!$L$21)</f>
        <v>1136.3897673296665</v>
      </c>
      <c r="Q238" s="141">
        <f t="shared" si="28"/>
        <v>236.28497974458242</v>
      </c>
      <c r="R238" s="106">
        <f t="shared" si="24"/>
        <v>-4.5474735088646412E-13</v>
      </c>
      <c r="V238" s="140">
        <f>($C238*Factores!$J$4*1000*Factores!U$4-Formato!$E238*Factores!$J$5*1000*Factores!U$5)/1000000</f>
        <v>174.7299738486912</v>
      </c>
      <c r="W238" s="140">
        <f>($C238*Factores!$J$4*1000*Factores!V$4-Formato!$E238*Factores!$J$5*1000*Factores!V$5)/1000000</f>
        <v>1.2723174725919739</v>
      </c>
      <c r="X238" s="140">
        <f>($C238*Factores!$J$4*1000*Factores!W$4-Formato!$E238*Factores!$J$5*1000*Factores!W$5)/1000000</f>
        <v>26.245482547970351</v>
      </c>
      <c r="Y238" s="140">
        <f>($C238*Factores!$J$4*1000*Factores!X$4-Formato!$E238*Factores!$J$5*1000*Factores!X$5)/1000000</f>
        <v>0.47639597381023419</v>
      </c>
      <c r="Z238" s="140">
        <f>($C238*Factores!$J$4*1000*Factores!Y$4-Formato!$E238*Factores!$J$5*1000*Factores!Y$5)/1000000</f>
        <v>33.265989731398001</v>
      </c>
      <c r="AA238" s="140">
        <f>($C238*Factores!$J$4*1000*Factores!Z$4-Formato!$E238*Factores!$J$5*1000*Factores!Z$5)/1000000</f>
        <v>32.390000741561209</v>
      </c>
      <c r="AB238" s="140">
        <f>($C238*Factores!$J$4*1000*Factores!AA$4-Formato!$E238*Factores!$J$5*1000*Factores!AA$5)/1000000</f>
        <v>3.2399933007465211</v>
      </c>
    </row>
    <row r="239" spans="2:28" x14ac:dyDescent="0.2">
      <c r="B239" s="151" t="s">
        <v>73</v>
      </c>
      <c r="C239" s="138">
        <f>E239*Factores!$I$14</f>
        <v>4934.988249764182</v>
      </c>
      <c r="D239" s="151" t="s">
        <v>88</v>
      </c>
      <c r="E239" s="138">
        <f t="shared" si="22"/>
        <v>668.63666666666677</v>
      </c>
      <c r="F239" s="139">
        <f>[1]Hoja1!C13/3</f>
        <v>66863.666666666672</v>
      </c>
      <c r="G239" s="101" t="s">
        <v>133</v>
      </c>
      <c r="H239" s="151">
        <v>2013</v>
      </c>
      <c r="I239" s="101" t="s">
        <v>229</v>
      </c>
      <c r="J239" s="155">
        <v>43847</v>
      </c>
      <c r="K239" s="151" t="s">
        <v>197</v>
      </c>
      <c r="L239" s="112"/>
      <c r="M239" s="112"/>
      <c r="N239" s="140">
        <f>((C239*((Factores!$F$7*Factores!$L$4)+Factores!$N$4*Factores!$L$20+Factores!$P$4*Factores!$L$21)*Factores!$J$4)-(E239*(Factores!$L$5+Factores!$N$5*Factores!$L$20+Factores!$P$5*Factores!$L$21)*Factores!$J$5))</f>
        <v>415.31554276954034</v>
      </c>
      <c r="O239" s="106">
        <f>C239*Factores!$J$4*(Factores!$L$4*Factores!$F$7+Factores!$N$4*Factores!$L$20+Factores!$P$4*Factores!$L$21)</f>
        <v>2412.7354952627074</v>
      </c>
      <c r="P239" s="106">
        <f>E239*Factores!$J$5*(Factores!$L$5+Factores!$N$5*Factores!$L$20+Factores!$P$5*Factores!$L$21)</f>
        <v>1997.4199524931671</v>
      </c>
      <c r="Q239" s="141">
        <f t="shared" si="28"/>
        <v>415.31554276954034</v>
      </c>
      <c r="R239" s="106">
        <f t="shared" si="24"/>
        <v>0</v>
      </c>
      <c r="V239" s="140">
        <f>($C239*Factores!$J$4*1000*Factores!U$4-Formato!$E239*Factores!$J$5*1000*Factores!U$5)/1000000</f>
        <v>307.12097741261834</v>
      </c>
      <c r="W239" s="140">
        <f>($C239*Factores!$J$4*1000*Factores!V$4-Formato!$E239*Factores!$J$5*1000*Factores!V$5)/1000000</f>
        <v>2.2363386038160611</v>
      </c>
      <c r="X239" s="140">
        <f>($C239*Factores!$J$4*1000*Factores!W$4-Formato!$E239*Factores!$J$5*1000*Factores!W$5)/1000000</f>
        <v>46.131399640559415</v>
      </c>
      <c r="Y239" s="140">
        <f>($C239*Factores!$J$4*1000*Factores!X$4-Formato!$E239*Factores!$J$5*1000*Factores!X$5)/1000000</f>
        <v>0.83735602935953368</v>
      </c>
      <c r="Z239" s="140">
        <f>($C239*Factores!$J$4*1000*Factores!Y$4-Formato!$E239*Factores!$J$5*1000*Factores!Y$5)/1000000</f>
        <v>58.471268872004146</v>
      </c>
      <c r="AA239" s="140">
        <f>($C239*Factores!$J$4*1000*Factores!Z$4-Formato!$E239*Factores!$J$5*1000*Factores!Z$5)/1000000</f>
        <v>56.931552538077717</v>
      </c>
      <c r="AB239" s="140">
        <f>($C239*Factores!$J$4*1000*Factores!AA$4-Formato!$E239*Factores!$J$5*1000*Factores!AA$5)/1000000</f>
        <v>5.6949010373989717</v>
      </c>
    </row>
    <row r="240" spans="2:28" x14ac:dyDescent="0.2">
      <c r="B240" s="151" t="s">
        <v>73</v>
      </c>
      <c r="C240" s="138">
        <f>E240*Factores!$I$14</f>
        <v>5325.2782109003192</v>
      </c>
      <c r="D240" s="151" t="s">
        <v>88</v>
      </c>
      <c r="E240" s="138">
        <f t="shared" si="22"/>
        <v>721.51666666666677</v>
      </c>
      <c r="F240" s="139">
        <f>[1]Hoja1!C14/3</f>
        <v>72151.666666666672</v>
      </c>
      <c r="G240" s="101" t="s">
        <v>133</v>
      </c>
      <c r="H240" s="151">
        <v>2013</v>
      </c>
      <c r="I240" s="101" t="s">
        <v>230</v>
      </c>
      <c r="J240" s="155">
        <v>43847</v>
      </c>
      <c r="K240" s="151" t="s">
        <v>197</v>
      </c>
      <c r="L240" s="112"/>
      <c r="M240" s="112"/>
      <c r="N240" s="140">
        <f>((C240*((Factores!$F$7*Factores!$L$4)+Factores!$N$4*Factores!$L$20+Factores!$P$4*Factores!$L$21)*Factores!$J$4)-(E240*(Factores!$L$5+Factores!$N$5*Factores!$L$20+Factores!$P$5*Factores!$L$21)*Factores!$J$5))</f>
        <v>448.16131237284253</v>
      </c>
      <c r="O240" s="106">
        <f>C240*Factores!$J$4*(Factores!$L$4*Factores!$F$7+Factores!$N$4*Factores!$L$20+Factores!$P$4*Factores!$L$21)</f>
        <v>2603.5498184220091</v>
      </c>
      <c r="P240" s="106">
        <f>E240*Factores!$J$5*(Factores!$L$5+Factores!$N$5*Factores!$L$20+Factores!$P$5*Factores!$L$21)</f>
        <v>2155.3885060491671</v>
      </c>
      <c r="Q240" s="141">
        <f t="shared" si="28"/>
        <v>448.16131237284208</v>
      </c>
      <c r="R240" s="106">
        <f t="shared" si="24"/>
        <v>4.5474735088646412E-13</v>
      </c>
      <c r="V240" s="140">
        <f>($C240*Factores!$J$4*1000*Factores!U$4-Formato!$E240*Factores!$J$5*1000*Factores!U$5)/1000000</f>
        <v>331.4100391635132</v>
      </c>
      <c r="W240" s="140">
        <f>($C240*Factores!$J$4*1000*Factores!V$4-Formato!$E240*Factores!$J$5*1000*Factores!V$5)/1000000</f>
        <v>2.4132023495022477</v>
      </c>
      <c r="X240" s="140">
        <f>($C240*Factores!$J$4*1000*Factores!W$4-Formato!$E240*Factores!$J$5*1000*Factores!W$5)/1000000</f>
        <v>49.779761351193642</v>
      </c>
      <c r="Y240" s="140">
        <f>($C240*Factores!$J$4*1000*Factores!X$4-Formato!$E240*Factores!$J$5*1000*Factores!X$5)/1000000</f>
        <v>0.9035794194904947</v>
      </c>
      <c r="Z240" s="140">
        <f>($C240*Factores!$J$4*1000*Factores!Y$4-Formato!$E240*Factores!$J$5*1000*Factores!Y$5)/1000000</f>
        <v>63.095545182434172</v>
      </c>
      <c r="AA240" s="140">
        <f>($C240*Factores!$J$4*1000*Factores!Z$4-Formato!$E240*Factores!$J$5*1000*Factores!Z$5)/1000000</f>
        <v>61.434058380633275</v>
      </c>
      <c r="AB240" s="140">
        <f>($C240*Factores!$J$4*1000*Factores!AA$4-Formato!$E240*Factores!$J$5*1000*Factores!AA$5)/1000000</f>
        <v>6.1452896892193278</v>
      </c>
    </row>
    <row r="241" spans="2:28" x14ac:dyDescent="0.2">
      <c r="B241" s="151" t="s">
        <v>73</v>
      </c>
      <c r="C241" s="138">
        <f>E241*Factores!$I$14</f>
        <v>5073.6710858032893</v>
      </c>
      <c r="D241" s="151" t="s">
        <v>88</v>
      </c>
      <c r="E241" s="138">
        <f t="shared" si="22"/>
        <v>687.42666666666673</v>
      </c>
      <c r="F241" s="139">
        <f>[1]Hoja1!C15/3</f>
        <v>68742.666666666672</v>
      </c>
      <c r="G241" s="101" t="s">
        <v>133</v>
      </c>
      <c r="H241" s="151">
        <v>2013</v>
      </c>
      <c r="I241" s="101" t="s">
        <v>231</v>
      </c>
      <c r="J241" s="155">
        <v>43847</v>
      </c>
      <c r="K241" s="151" t="s">
        <v>197</v>
      </c>
      <c r="L241" s="112"/>
      <c r="M241" s="112"/>
      <c r="N241" s="140">
        <f>((C241*((Factores!$F$7*Factores!$L$4)+Factores!$N$4*Factores!$L$20+Factores!$P$4*Factores!$L$21)*Factores!$J$4)-(E241*(Factores!$L$5+Factores!$N$5*Factores!$L$20+Factores!$P$5*Factores!$L$21)*Factores!$J$5))</f>
        <v>426.98672300490443</v>
      </c>
      <c r="O241" s="106">
        <f>C241*Factores!$J$4*(Factores!$L$4*Factores!$F$7+Factores!$N$4*Factores!$L$20+Factores!$P$4*Factores!$L$21)</f>
        <v>2480.5380885335712</v>
      </c>
      <c r="P241" s="106">
        <f>E241*Factores!$J$5*(Factores!$L$5+Factores!$N$5*Factores!$L$20+Factores!$P$5*Factores!$L$21)</f>
        <v>2053.5513655286672</v>
      </c>
      <c r="Q241" s="141">
        <f t="shared" si="28"/>
        <v>426.98672300490398</v>
      </c>
      <c r="R241" s="106">
        <f t="shared" si="24"/>
        <v>4.5474735088646412E-13</v>
      </c>
      <c r="V241" s="140">
        <f>($C241*Factores!$J$4*1000*Factores!U$4-Formato!$E241*Factores!$J$5*1000*Factores!U$5)/1000000</f>
        <v>315.75167843945854</v>
      </c>
      <c r="W241" s="140">
        <f>($C241*Factores!$J$4*1000*Factores!V$4-Formato!$E241*Factores!$J$5*1000*Factores!V$5)/1000000</f>
        <v>2.2991840989265655</v>
      </c>
      <c r="X241" s="140">
        <f>($C241*Factores!$J$4*1000*Factores!W$4-Formato!$E241*Factores!$J$5*1000*Factores!W$5)/1000000</f>
        <v>47.427782328585451</v>
      </c>
      <c r="Y241" s="140">
        <f>($C241*Factores!$J$4*1000*Factores!X$4-Formato!$E241*Factores!$J$5*1000*Factores!X$5)/1000000</f>
        <v>0.8608873739238444</v>
      </c>
      <c r="Z241" s="140">
        <f>($C241*Factores!$J$4*1000*Factores!Y$4-Formato!$E241*Factores!$J$5*1000*Factores!Y$5)/1000000</f>
        <v>60.114426055683801</v>
      </c>
      <c r="AA241" s="140">
        <f>($C241*Factores!$J$4*1000*Factores!Z$4-Formato!$E241*Factores!$J$5*1000*Factores!Z$5)/1000000</f>
        <v>58.531440676913171</v>
      </c>
      <c r="AB241" s="140">
        <f>($C241*Factores!$J$4*1000*Factores!AA$4-Formato!$E241*Factores!$J$5*1000*Factores!AA$5)/1000000</f>
        <v>5.8549389112209171</v>
      </c>
    </row>
    <row r="242" spans="2:28" x14ac:dyDescent="0.2">
      <c r="B242" s="151" t="s">
        <v>73</v>
      </c>
      <c r="C242" s="138">
        <f>E242*Factores!$I$14</f>
        <v>6627.1550309608965</v>
      </c>
      <c r="D242" s="151" t="s">
        <v>88</v>
      </c>
      <c r="E242" s="138">
        <f t="shared" si="22"/>
        <v>897.90666666666675</v>
      </c>
      <c r="F242" s="139">
        <f>[1]Hoja1!C16/3</f>
        <v>89790.666666666672</v>
      </c>
      <c r="G242" s="101" t="s">
        <v>133</v>
      </c>
      <c r="H242" s="151">
        <v>2013</v>
      </c>
      <c r="I242" s="101" t="s">
        <v>232</v>
      </c>
      <c r="J242" s="155">
        <v>43847</v>
      </c>
      <c r="K242" s="151" t="s">
        <v>197</v>
      </c>
      <c r="L242" s="112"/>
      <c r="M242" s="112"/>
      <c r="N242" s="140">
        <f>((C242*((Factores!$F$7*Factores!$L$4)+Factores!$N$4*Factores!$L$20+Factores!$P$4*Factores!$L$21)*Factores!$J$4)-(E242*(Factores!$L$5+Factores!$N$5*Factores!$L$20+Factores!$P$5*Factores!$L$21)*Factores!$J$5))</f>
        <v>557.72381805223904</v>
      </c>
      <c r="O242" s="106">
        <f>C242*Factores!$J$4*(Factores!$L$4*Factores!$F$7+Factores!$N$4*Factores!$L$20+Factores!$P$4*Factores!$L$21)</f>
        <v>3240.0426032569062</v>
      </c>
      <c r="P242" s="106">
        <f>E242*Factores!$J$5*(Factores!$L$5+Factores!$N$5*Factores!$L$20+Factores!$P$5*Factores!$L$21)</f>
        <v>2682.3187852046672</v>
      </c>
      <c r="Q242" s="141">
        <f t="shared" si="28"/>
        <v>557.72381805223904</v>
      </c>
      <c r="R242" s="106">
        <f t="shared" si="24"/>
        <v>0</v>
      </c>
      <c r="V242" s="140">
        <f>($C242*Factores!$J$4*1000*Factores!U$4-Formato!$E242*Factores!$J$5*1000*Factores!U$5)/1000000</f>
        <v>412.4302283132933</v>
      </c>
      <c r="W242" s="140">
        <f>($C242*Factores!$J$4*1000*Factores!V$4-Formato!$E242*Factores!$J$5*1000*Factores!V$5)/1000000</f>
        <v>3.003160672149499</v>
      </c>
      <c r="X242" s="140">
        <f>($C242*Factores!$J$4*1000*Factores!W$4-Formato!$E242*Factores!$J$5*1000*Factores!W$5)/1000000</f>
        <v>61.94947621766066</v>
      </c>
      <c r="Y242" s="140">
        <f>($C242*Factores!$J$4*1000*Factores!X$4-Formato!$E242*Factores!$J$5*1000*Factores!X$5)/1000000</f>
        <v>1.1244785077128896</v>
      </c>
      <c r="Z242" s="140">
        <f>($C242*Factores!$J$4*1000*Factores!Y$4-Formato!$E242*Factores!$J$5*1000*Factores!Y$5)/1000000</f>
        <v>78.520584864672387</v>
      </c>
      <c r="AA242" s="140">
        <f>($C242*Factores!$J$4*1000*Factores!Z$4-Formato!$E242*Factores!$J$5*1000*Factores!Z$5)/1000000</f>
        <v>76.452912495012583</v>
      </c>
      <c r="AB242" s="140">
        <f>($C242*Factores!$J$4*1000*Factores!AA$4-Formato!$E242*Factores!$J$5*1000*Factores!AA$5)/1000000</f>
        <v>7.6476356478916596</v>
      </c>
    </row>
    <row r="243" spans="2:28" x14ac:dyDescent="0.2">
      <c r="B243" s="151" t="s">
        <v>73</v>
      </c>
      <c r="C243" s="138">
        <f>E243*Factores!$I$14</f>
        <v>7588.1677933095962</v>
      </c>
      <c r="D243" s="151" t="s">
        <v>88</v>
      </c>
      <c r="E243" s="138">
        <f t="shared" si="22"/>
        <v>1028.1133333333332</v>
      </c>
      <c r="F243" s="139">
        <f>[1]Hoja1!C17/3</f>
        <v>102811.33333333333</v>
      </c>
      <c r="G243" s="101" t="s">
        <v>133</v>
      </c>
      <c r="H243" s="151">
        <v>2013</v>
      </c>
      <c r="I243" s="101" t="s">
        <v>233</v>
      </c>
      <c r="J243" s="155">
        <v>43847</v>
      </c>
      <c r="K243" s="151" t="s">
        <v>197</v>
      </c>
      <c r="L243" s="112"/>
      <c r="M243" s="112"/>
      <c r="N243" s="140">
        <f>((C243*((Factores!$F$7*Factores!$L$4)+Factores!$N$4*Factores!$L$20+Factores!$P$4*Factores!$L$21)*Factores!$J$4)-(E243*(Factores!$L$5+Factores!$N$5*Factores!$L$20+Factores!$P$5*Factores!$L$21)*Factores!$J$5))</f>
        <v>638.60010727590134</v>
      </c>
      <c r="O243" s="106">
        <f>C243*Factores!$J$4*(Factores!$L$4*Factores!$F$7+Factores!$N$4*Factores!$L$20+Factores!$P$4*Factores!$L$21)</f>
        <v>3709.8855868202345</v>
      </c>
      <c r="P243" s="106">
        <f>E243*Factores!$J$5*(Factores!$L$5+Factores!$N$5*Factores!$L$20+Factores!$P$5*Factores!$L$21)</f>
        <v>3071.2854795443332</v>
      </c>
      <c r="Q243" s="141">
        <f t="shared" si="28"/>
        <v>638.60010727590134</v>
      </c>
      <c r="R243" s="106">
        <f t="shared" si="24"/>
        <v>0</v>
      </c>
      <c r="V243" s="140">
        <f>($C243*Factores!$J$4*1000*Factores!U$4-Formato!$E243*Factores!$J$5*1000*Factores!U$5)/1000000</f>
        <v>472.23729652518551</v>
      </c>
      <c r="W243" s="140">
        <f>($C243*Factores!$J$4*1000*Factores!V$4-Formato!$E243*Factores!$J$5*1000*Factores!V$5)/1000000</f>
        <v>3.4386530847814858</v>
      </c>
      <c r="X243" s="140">
        <f>($C243*Factores!$J$4*1000*Factores!W$4-Formato!$E243*Factores!$J$5*1000*Factores!W$5)/1000000</f>
        <v>70.932854000111149</v>
      </c>
      <c r="Y243" s="140">
        <f>($C243*Factores!$J$4*1000*Factores!X$4-Formato!$E243*Factores!$J$5*1000*Factores!X$5)/1000000</f>
        <v>1.2875406651319268</v>
      </c>
      <c r="Z243" s="140">
        <f>($C243*Factores!$J$4*1000*Factores!Y$4-Formato!$E243*Factores!$J$5*1000*Factores!Y$5)/1000000</f>
        <v>89.906961644678574</v>
      </c>
      <c r="AA243" s="140">
        <f>($C243*Factores!$J$4*1000*Factores!Z$4-Formato!$E243*Factores!$J$5*1000*Factores!Z$5)/1000000</f>
        <v>87.539453293165977</v>
      </c>
      <c r="AB243" s="140">
        <f>($C243*Factores!$J$4*1000*Factores!AA$4-Formato!$E243*Factores!$J$5*1000*Factores!AA$5)/1000000</f>
        <v>8.7566296921053972</v>
      </c>
    </row>
    <row r="244" spans="2:28" x14ac:dyDescent="0.2">
      <c r="B244" s="151" t="s">
        <v>73</v>
      </c>
      <c r="C244" s="138">
        <f>E244*Factores!$I$14</f>
        <v>7670.363882578119</v>
      </c>
      <c r="D244" s="151" t="s">
        <v>88</v>
      </c>
      <c r="E244" s="138">
        <f t="shared" si="22"/>
        <v>1039.25</v>
      </c>
      <c r="F244" s="139">
        <f>[1]Hoja1!C18/3</f>
        <v>103925</v>
      </c>
      <c r="G244" s="101" t="s">
        <v>133</v>
      </c>
      <c r="H244" s="151">
        <v>2013</v>
      </c>
      <c r="I244" s="101" t="s">
        <v>234</v>
      </c>
      <c r="J244" s="155">
        <v>43847</v>
      </c>
      <c r="K244" s="151" t="s">
        <v>197</v>
      </c>
      <c r="L244" s="112"/>
      <c r="M244" s="112"/>
      <c r="N244" s="140">
        <f>((C244*((Factores!$F$7*Factores!$L$4)+Factores!$N$4*Factores!$L$20+Factores!$P$4*Factores!$L$21)*Factores!$J$4)-(E244*(Factores!$L$5+Factores!$N$5*Factores!$L$20+Factores!$P$5*Factores!$L$21)*Factores!$J$5))</f>
        <v>645.51751248547225</v>
      </c>
      <c r="O244" s="106">
        <f>C244*Factores!$J$4*(Factores!$L$4*Factores!$F$7+Factores!$N$4*Factores!$L$20+Factores!$P$4*Factores!$L$21)</f>
        <v>3750.0715836479726</v>
      </c>
      <c r="P244" s="106">
        <f>E244*Factores!$J$5*(Factores!$L$5+Factores!$N$5*Factores!$L$20+Factores!$P$5*Factores!$L$21)</f>
        <v>3104.5540711625003</v>
      </c>
      <c r="Q244" s="141">
        <f t="shared" si="28"/>
        <v>645.51751248547225</v>
      </c>
      <c r="R244" s="106">
        <f t="shared" si="24"/>
        <v>0</v>
      </c>
      <c r="V244" s="140">
        <f>($C244*Factores!$J$4*1000*Factores!U$4-Formato!$E244*Factores!$J$5*1000*Factores!U$5)/1000000</f>
        <v>477.35263662287463</v>
      </c>
      <c r="W244" s="140">
        <f>($C244*Factores!$J$4*1000*Factores!V$4-Formato!$E244*Factores!$J$5*1000*Factores!V$5)/1000000</f>
        <v>3.4759010534109329</v>
      </c>
      <c r="X244" s="140">
        <f>($C244*Factores!$J$4*1000*Factores!W$4-Formato!$E244*Factores!$J$5*1000*Factores!W$5)/1000000</f>
        <v>71.701208543431193</v>
      </c>
      <c r="Y244" s="140">
        <f>($C244*Factores!$J$4*1000*Factores!X$4-Formato!$E244*Factores!$J$5*1000*Factores!X$5)/1000000</f>
        <v>1.3014874847504052</v>
      </c>
      <c r="Z244" s="140">
        <f>($C244*Factores!$J$4*1000*Factores!Y$4-Formato!$E244*Factores!$J$5*1000*Factores!Y$5)/1000000</f>
        <v>90.880846361846181</v>
      </c>
      <c r="AA244" s="140">
        <f>($C244*Factores!$J$4*1000*Factores!Z$4-Formato!$E244*Factores!$J$5*1000*Factores!Z$5)/1000000</f>
        <v>88.487692830481791</v>
      </c>
      <c r="AB244" s="140">
        <f>($C244*Factores!$J$4*1000*Factores!AA$4-Formato!$E244*Factores!$J$5*1000*Factores!AA$5)/1000000</f>
        <v>8.8514827232281803</v>
      </c>
    </row>
    <row r="245" spans="2:28" x14ac:dyDescent="0.2">
      <c r="B245" s="151" t="s">
        <v>73</v>
      </c>
      <c r="C245" s="138">
        <f>E245*Factores!$I$14</f>
        <v>8498.6721536025452</v>
      </c>
      <c r="D245" s="151" t="s">
        <v>88</v>
      </c>
      <c r="E245" s="138">
        <f t="shared" si="22"/>
        <v>1151.4766666666667</v>
      </c>
      <c r="F245" s="139">
        <f>[1]Hoja1!C19/3</f>
        <v>115147.66666666667</v>
      </c>
      <c r="G245" s="101" t="s">
        <v>133</v>
      </c>
      <c r="H245" s="151">
        <v>2013</v>
      </c>
      <c r="I245" s="101" t="s">
        <v>235</v>
      </c>
      <c r="J245" s="155">
        <v>43847</v>
      </c>
      <c r="K245" s="151" t="s">
        <v>197</v>
      </c>
      <c r="L245" s="112"/>
      <c r="M245" s="112"/>
      <c r="N245" s="140">
        <f>((C245*((Factores!$F$7*Factores!$L$4)+Factores!$N$4*Factores!$L$20+Factores!$P$4*Factores!$L$21)*Factores!$J$4)-(E245*(Factores!$L$5+Factores!$N$5*Factores!$L$20+Factores!$P$5*Factores!$L$21)*Factores!$J$5))</f>
        <v>715.22574313373207</v>
      </c>
      <c r="O245" s="106">
        <f>C245*Factores!$J$4*(Factores!$L$4*Factores!$F$7+Factores!$N$4*Factores!$L$20+Factores!$P$4*Factores!$L$21)</f>
        <v>4155.0348105848989</v>
      </c>
      <c r="P245" s="106">
        <f>E245*Factores!$J$5*(Factores!$L$5+Factores!$N$5*Factores!$L$20+Factores!$P$5*Factores!$L$21)</f>
        <v>3439.8090674511668</v>
      </c>
      <c r="Q245" s="141">
        <f t="shared" si="28"/>
        <v>715.22574313373207</v>
      </c>
      <c r="R245" s="106">
        <f t="shared" si="24"/>
        <v>0</v>
      </c>
      <c r="V245" s="140">
        <f>($C245*Factores!$J$4*1000*Factores!U$4-Formato!$E245*Factores!$J$5*1000*Factores!U$5)/1000000</f>
        <v>528.90105638013199</v>
      </c>
      <c r="W245" s="140">
        <f>($C245*Factores!$J$4*1000*Factores!V$4-Formato!$E245*Factores!$J$5*1000*Factores!V$5)/1000000</f>
        <v>3.8512571168099843</v>
      </c>
      <c r="X245" s="140">
        <f>($C245*Factores!$J$4*1000*Factores!W$4-Formato!$E245*Factores!$J$5*1000*Factores!W$5)/1000000</f>
        <v>79.444088149686465</v>
      </c>
      <c r="Y245" s="140">
        <f>($C245*Factores!$J$4*1000*Factores!X$4-Formato!$E245*Factores!$J$5*1000*Factores!X$5)/1000000</f>
        <v>1.4420326876581964</v>
      </c>
      <c r="Z245" s="140">
        <f>($C245*Factores!$J$4*1000*Factores!Y$4-Formato!$E245*Factores!$J$5*1000*Factores!Y$5)/1000000</f>
        <v>100.69489923751176</v>
      </c>
      <c r="AA245" s="140">
        <f>($C245*Factores!$J$4*1000*Factores!Z$4-Formato!$E245*Factores!$J$5*1000*Factores!Z$5)/1000000</f>
        <v>98.043313525587763</v>
      </c>
      <c r="AB245" s="140">
        <f>($C245*Factores!$J$4*1000*Factores!AA$4-Formato!$E245*Factores!$J$5*1000*Factores!AA$5)/1000000</f>
        <v>9.8073378120763763</v>
      </c>
    </row>
    <row r="246" spans="2:28" x14ac:dyDescent="0.2">
      <c r="B246" s="151" t="s">
        <v>73</v>
      </c>
      <c r="C246" s="138">
        <f>E246*Factores!$I$14</f>
        <v>8904.8551628283149</v>
      </c>
      <c r="D246" s="151" t="s">
        <v>88</v>
      </c>
      <c r="E246" s="138">
        <f t="shared" si="22"/>
        <v>1206.51</v>
      </c>
      <c r="F246" s="139">
        <f>[1]Hoja1!C20/3</f>
        <v>120651</v>
      </c>
      <c r="G246" s="101" t="s">
        <v>133</v>
      </c>
      <c r="H246" s="151">
        <v>2013</v>
      </c>
      <c r="I246" s="101" t="s">
        <v>236</v>
      </c>
      <c r="J246" s="155">
        <v>43847</v>
      </c>
      <c r="K246" s="151" t="s">
        <v>197</v>
      </c>
      <c r="L246" s="112"/>
      <c r="M246" s="112"/>
      <c r="N246" s="140">
        <f>((C246*((Factores!$F$7*Factores!$L$4)+Factores!$N$4*Factores!$L$20+Factores!$P$4*Factores!$L$21)*Factores!$J$4)-(E246*(Factores!$L$5+Factores!$N$5*Factores!$L$20+Factores!$P$5*Factores!$L$21)*Factores!$J$5))</f>
        <v>749.40902957791468</v>
      </c>
      <c r="O246" s="106">
        <f>C246*Factores!$J$4*(Factores!$L$4*Factores!$F$7+Factores!$N$4*Factores!$L$20+Factores!$P$4*Factores!$L$21)</f>
        <v>4353.6193085274144</v>
      </c>
      <c r="P246" s="106">
        <f>E246*Factores!$J$5*(Factores!$L$5+Factores!$N$5*Factores!$L$20+Factores!$P$5*Factores!$L$21)</f>
        <v>3604.2102789495002</v>
      </c>
      <c r="Q246" s="141">
        <f t="shared" si="28"/>
        <v>749.40902957791423</v>
      </c>
      <c r="R246" s="106">
        <f t="shared" si="24"/>
        <v>0</v>
      </c>
      <c r="V246" s="140">
        <f>($C246*Factores!$J$4*1000*Factores!U$4-Formato!$E246*Factores!$J$5*1000*Factores!U$5)/1000000</f>
        <v>554.17919616248685</v>
      </c>
      <c r="W246" s="140">
        <f>($C246*Factores!$J$4*1000*Factores!V$4-Formato!$E246*Factores!$J$5*1000*Factores!V$5)/1000000</f>
        <v>4.0353229540060855</v>
      </c>
      <c r="X246" s="140">
        <f>($C246*Factores!$J$4*1000*Factores!W$4-Formato!$E246*Factores!$J$5*1000*Factores!W$5)/1000000</f>
        <v>83.241015270373026</v>
      </c>
      <c r="Y246" s="140">
        <f>($C246*Factores!$J$4*1000*Factores!X$4-Formato!$E246*Factores!$J$5*1000*Factores!X$5)/1000000</f>
        <v>1.5109527690413387</v>
      </c>
      <c r="Z246" s="140">
        <f>($C246*Factores!$J$4*1000*Factores!Y$4-Formato!$E246*Factores!$J$5*1000*Factores!Y$5)/1000000</f>
        <v>105.5074813028925</v>
      </c>
      <c r="AA246" s="140">
        <f>($C246*Factores!$J$4*1000*Factores!Z$4-Formato!$E246*Factores!$J$5*1000*Factores!Z$5)/1000000</f>
        <v>102.72916649209007</v>
      </c>
      <c r="AB246" s="140">
        <f>($C246*Factores!$J$4*1000*Factores!AA$4-Formato!$E246*Factores!$J$5*1000*Factores!AA$5)/1000000</f>
        <v>10.276066798558606</v>
      </c>
    </row>
    <row r="247" spans="2:28" x14ac:dyDescent="0.2">
      <c r="B247" s="151" t="s">
        <v>73</v>
      </c>
      <c r="C247" s="138">
        <f>E247*Factores!$I$14</f>
        <v>10848.186228772813</v>
      </c>
      <c r="D247" s="151" t="s">
        <v>88</v>
      </c>
      <c r="E247" s="138">
        <f t="shared" si="22"/>
        <v>1469.81</v>
      </c>
      <c r="F247" s="139">
        <f>[1]Hoja1!C21/3</f>
        <v>146981</v>
      </c>
      <c r="G247" s="101" t="s">
        <v>133</v>
      </c>
      <c r="H247" s="151">
        <v>2013</v>
      </c>
      <c r="I247" s="101" t="s">
        <v>237</v>
      </c>
      <c r="J247" s="155">
        <v>43847</v>
      </c>
      <c r="K247" s="151" t="s">
        <v>197</v>
      </c>
      <c r="L247" s="112"/>
      <c r="M247" s="112"/>
      <c r="N247" s="140">
        <f>((C247*((Factores!$F$7*Factores!$L$4)+Factores!$N$4*Factores!$L$20+Factores!$P$4*Factores!$L$21)*Factores!$J$4)-(E247*(Factores!$L$5+Factores!$N$5*Factores!$L$20+Factores!$P$5*Factores!$L$21)*Factores!$J$5))</f>
        <v>912.95462595744266</v>
      </c>
      <c r="O247" s="106">
        <f>C247*Factores!$J$4*(Factores!$L$4*Factores!$F$7+Factores!$N$4*Factores!$L$20+Factores!$P$4*Factores!$L$21)</f>
        <v>5303.7216399919434</v>
      </c>
      <c r="P247" s="106">
        <f>E247*Factores!$J$5*(Factores!$L$5+Factores!$N$5*Factores!$L$20+Factores!$P$5*Factores!$L$21)</f>
        <v>4390.7670140344999</v>
      </c>
      <c r="Q247" s="141">
        <f t="shared" si="28"/>
        <v>912.95462595744357</v>
      </c>
      <c r="R247" s="106">
        <f t="shared" si="24"/>
        <v>-9.0949470177292824E-13</v>
      </c>
      <c r="V247" s="140">
        <f>($C247*Factores!$J$4*1000*Factores!U$4-Formato!$E247*Factores!$J$5*1000*Factores!U$5)/1000000</f>
        <v>675.11924833742341</v>
      </c>
      <c r="W247" s="140">
        <f>($C247*Factores!$J$4*1000*Factores!V$4-Formato!$E247*Factores!$J$5*1000*Factores!V$5)/1000000</f>
        <v>4.9159625954427923</v>
      </c>
      <c r="X247" s="140">
        <f>($C247*Factores!$J$4*1000*Factores!W$4-Formato!$E247*Factores!$J$5*1000*Factores!W$5)/1000000</f>
        <v>101.40693127661352</v>
      </c>
      <c r="Y247" s="140">
        <f>($C247*Factores!$J$4*1000*Factores!X$4-Formato!$E247*Factores!$J$5*1000*Factores!X$5)/1000000</f>
        <v>1.8406921529574145</v>
      </c>
      <c r="Z247" s="140">
        <f>($C247*Factores!$J$4*1000*Factores!Y$4-Formato!$E247*Factores!$J$5*1000*Factores!Y$5)/1000000</f>
        <v>128.53266951273045</v>
      </c>
      <c r="AA247" s="140">
        <f>($C247*Factores!$J$4*1000*Factores!Z$4-Formato!$E247*Factores!$J$5*1000*Factores!Z$5)/1000000</f>
        <v>125.14803540935334</v>
      </c>
      <c r="AB247" s="140">
        <f>($C247*Factores!$J$4*1000*Factores!AA$4-Formato!$E247*Factores!$J$5*1000*Factores!AA$5)/1000000</f>
        <v>12.518641156052936</v>
      </c>
    </row>
    <row r="248" spans="2:28" x14ac:dyDescent="0.2">
      <c r="B248" s="228"/>
      <c r="C248" s="229"/>
      <c r="D248" s="229"/>
      <c r="E248" s="229"/>
      <c r="F248" s="229"/>
      <c r="G248" s="229"/>
      <c r="H248" s="229"/>
      <c r="I248" s="229"/>
      <c r="J248" s="229"/>
      <c r="K248" s="229"/>
      <c r="L248" s="229"/>
      <c r="M248" s="230"/>
      <c r="N248" s="109">
        <f>SUM(N212:N247)</f>
        <v>61734.166340472097</v>
      </c>
      <c r="V248" s="150">
        <f>SUM(V212:V247)</f>
        <v>13615.479762215664</v>
      </c>
      <c r="W248" s="150">
        <f t="shared" ref="W248:AB248" si="29">SUM(W212:W247)</f>
        <v>99.142765363145841</v>
      </c>
      <c r="X248" s="150">
        <f t="shared" si="29"/>
        <v>2045.1261372643501</v>
      </c>
      <c r="Y248" s="150">
        <f t="shared" si="29"/>
        <v>37.122192588612087</v>
      </c>
      <c r="Z248" s="150">
        <f t="shared" si="29"/>
        <v>2592.1849582038167</v>
      </c>
      <c r="AA248" s="150">
        <f t="shared" si="29"/>
        <v>2523.9252881521579</v>
      </c>
      <c r="AB248" s="150">
        <f t="shared" si="29"/>
        <v>252.4699239881391</v>
      </c>
    </row>
    <row r="249" spans="2:28" x14ac:dyDescent="0.2">
      <c r="B249" s="97" t="s">
        <v>73</v>
      </c>
      <c r="C249" s="138">
        <f>E249*Factores!$I$14</f>
        <v>143251.61992228663</v>
      </c>
      <c r="D249" s="97" t="s">
        <v>88</v>
      </c>
      <c r="E249" s="138">
        <f t="shared" si="22"/>
        <v>19409.02</v>
      </c>
      <c r="F249" s="139">
        <f>'[2]Vales FISE'!C25/3</f>
        <v>1940902</v>
      </c>
      <c r="G249" s="101" t="s">
        <v>131</v>
      </c>
      <c r="H249" s="97">
        <v>2014</v>
      </c>
      <c r="I249" s="101"/>
      <c r="J249" s="104">
        <v>43847</v>
      </c>
      <c r="K249" s="97" t="s">
        <v>197</v>
      </c>
      <c r="L249" s="112"/>
      <c r="M249" s="112"/>
      <c r="N249" s="112"/>
      <c r="V249" s="112"/>
      <c r="W249" s="112"/>
      <c r="X249" s="112"/>
      <c r="Y249" s="112"/>
      <c r="Z249" s="112"/>
      <c r="AA249" s="112"/>
      <c r="AB249" s="112"/>
    </row>
    <row r="250" spans="2:28" x14ac:dyDescent="0.2">
      <c r="B250" s="97" t="s">
        <v>73</v>
      </c>
      <c r="C250" s="138">
        <f>E250*Factores!$I$14</f>
        <v>143251.61992228663</v>
      </c>
      <c r="D250" s="97" t="s">
        <v>88</v>
      </c>
      <c r="E250" s="138">
        <f t="shared" si="22"/>
        <v>19409.02</v>
      </c>
      <c r="F250" s="139">
        <f>+F249</f>
        <v>1940902</v>
      </c>
      <c r="G250" s="101" t="s">
        <v>132</v>
      </c>
      <c r="H250" s="97">
        <v>2014</v>
      </c>
      <c r="I250" s="101"/>
      <c r="J250" s="104">
        <v>43847</v>
      </c>
      <c r="K250" s="97" t="s">
        <v>197</v>
      </c>
      <c r="L250" s="112"/>
      <c r="M250" s="112"/>
      <c r="N250" s="112"/>
      <c r="V250" s="112"/>
      <c r="W250" s="112"/>
      <c r="X250" s="112"/>
      <c r="Y250" s="112"/>
      <c r="Z250" s="112"/>
      <c r="AA250" s="112"/>
      <c r="AB250" s="112"/>
    </row>
    <row r="251" spans="2:28" x14ac:dyDescent="0.2">
      <c r="B251" s="97" t="s">
        <v>73</v>
      </c>
      <c r="C251" s="138">
        <f>E251*Factores!$I$14</f>
        <v>143251.61992228663</v>
      </c>
      <c r="D251" s="97" t="s">
        <v>88</v>
      </c>
      <c r="E251" s="138">
        <f t="shared" si="22"/>
        <v>19409.02</v>
      </c>
      <c r="F251" s="139">
        <f>+F250</f>
        <v>1940902</v>
      </c>
      <c r="G251" s="101" t="s">
        <v>133</v>
      </c>
      <c r="H251" s="97">
        <v>2014</v>
      </c>
      <c r="I251" s="101"/>
      <c r="J251" s="104">
        <v>43847</v>
      </c>
      <c r="K251" s="97" t="s">
        <v>197</v>
      </c>
      <c r="L251" s="112"/>
      <c r="M251" s="112"/>
      <c r="N251" s="112"/>
      <c r="V251" s="112"/>
      <c r="W251" s="112"/>
      <c r="X251" s="112"/>
      <c r="Y251" s="112"/>
      <c r="Z251" s="112"/>
      <c r="AA251" s="112"/>
      <c r="AB251" s="112"/>
    </row>
    <row r="252" spans="2:28" x14ac:dyDescent="0.2">
      <c r="B252" s="97" t="s">
        <v>73</v>
      </c>
      <c r="C252" s="138">
        <f>E252*Factores!$I$14</f>
        <v>198862.52689102874</v>
      </c>
      <c r="D252" s="97" t="s">
        <v>88</v>
      </c>
      <c r="E252" s="138">
        <f t="shared" si="22"/>
        <v>26943.686666666665</v>
      </c>
      <c r="F252" s="139">
        <f>'[2]Vales FISE'!C26/3</f>
        <v>2694368.6666666665</v>
      </c>
      <c r="G252" s="101" t="s">
        <v>131</v>
      </c>
      <c r="H252" s="97">
        <v>2015</v>
      </c>
      <c r="I252" s="101"/>
      <c r="J252" s="104">
        <v>43847</v>
      </c>
      <c r="K252" s="97" t="s">
        <v>197</v>
      </c>
      <c r="L252" s="112"/>
      <c r="M252" s="112"/>
      <c r="N252" s="112"/>
      <c r="V252" s="112"/>
      <c r="W252" s="112"/>
      <c r="X252" s="112"/>
      <c r="Y252" s="112"/>
      <c r="Z252" s="112"/>
      <c r="AA252" s="112"/>
      <c r="AB252" s="112"/>
    </row>
    <row r="253" spans="2:28" x14ac:dyDescent="0.2">
      <c r="B253" s="97" t="s">
        <v>73</v>
      </c>
      <c r="C253" s="138">
        <f>E253*Factores!$I$14</f>
        <v>198862.52689102874</v>
      </c>
      <c r="D253" s="97" t="s">
        <v>88</v>
      </c>
      <c r="E253" s="138">
        <f t="shared" si="22"/>
        <v>26943.686666666665</v>
      </c>
      <c r="F253" s="139">
        <f>+F252</f>
        <v>2694368.6666666665</v>
      </c>
      <c r="G253" s="101" t="s">
        <v>132</v>
      </c>
      <c r="H253" s="97">
        <v>2015</v>
      </c>
      <c r="I253" s="101"/>
      <c r="J253" s="104">
        <v>43847</v>
      </c>
      <c r="K253" s="97" t="s">
        <v>197</v>
      </c>
      <c r="L253" s="112"/>
      <c r="M253" s="112"/>
      <c r="N253" s="112"/>
      <c r="V253" s="112"/>
      <c r="W253" s="112"/>
      <c r="X253" s="112"/>
      <c r="Y253" s="112"/>
      <c r="Z253" s="112"/>
      <c r="AA253" s="112"/>
      <c r="AB253" s="112"/>
    </row>
    <row r="254" spans="2:28" x14ac:dyDescent="0.2">
      <c r="B254" s="97" t="s">
        <v>73</v>
      </c>
      <c r="C254" s="138">
        <f>E254*Factores!$I$14</f>
        <v>198862.52689102874</v>
      </c>
      <c r="D254" s="97" t="s">
        <v>88</v>
      </c>
      <c r="E254" s="138">
        <f t="shared" si="22"/>
        <v>26943.686666666665</v>
      </c>
      <c r="F254" s="139">
        <f>+F253</f>
        <v>2694368.6666666665</v>
      </c>
      <c r="G254" s="101" t="s">
        <v>133</v>
      </c>
      <c r="H254" s="97">
        <v>2015</v>
      </c>
      <c r="I254" s="101"/>
      <c r="J254" s="104">
        <v>43847</v>
      </c>
      <c r="K254" s="97" t="s">
        <v>197</v>
      </c>
      <c r="L254" s="112"/>
      <c r="M254" s="112"/>
      <c r="N254" s="112"/>
      <c r="V254" s="112"/>
      <c r="W254" s="112"/>
      <c r="X254" s="112"/>
      <c r="Y254" s="112"/>
      <c r="Z254" s="112"/>
      <c r="AA254" s="112"/>
      <c r="AB254" s="112"/>
    </row>
    <row r="255" spans="2:28" x14ac:dyDescent="0.2">
      <c r="B255" s="97" t="s">
        <v>73</v>
      </c>
      <c r="C255" s="138">
        <f>E255*Factores!$I$14</f>
        <v>244623.45898268354</v>
      </c>
      <c r="D255" s="97" t="s">
        <v>88</v>
      </c>
      <c r="E255" s="138">
        <f t="shared" si="22"/>
        <v>33143.79</v>
      </c>
      <c r="F255" s="139">
        <f>'[2]Vales FISE'!C27/3</f>
        <v>3314379</v>
      </c>
      <c r="G255" s="101" t="s">
        <v>131</v>
      </c>
      <c r="H255" s="97">
        <v>2016</v>
      </c>
      <c r="I255" s="101"/>
      <c r="J255" s="104">
        <v>43847</v>
      </c>
      <c r="K255" s="97" t="s">
        <v>197</v>
      </c>
      <c r="L255" s="112"/>
      <c r="M255" s="112"/>
      <c r="N255" s="112"/>
      <c r="V255" s="112"/>
      <c r="W255" s="112"/>
      <c r="X255" s="112"/>
      <c r="Y255" s="112"/>
      <c r="Z255" s="112"/>
      <c r="AA255" s="112"/>
      <c r="AB255" s="112"/>
    </row>
    <row r="256" spans="2:28" x14ac:dyDescent="0.2">
      <c r="B256" s="97" t="s">
        <v>73</v>
      </c>
      <c r="C256" s="138">
        <f>E256*Factores!$I$14</f>
        <v>244623.45898268354</v>
      </c>
      <c r="D256" s="97" t="s">
        <v>88</v>
      </c>
      <c r="E256" s="138">
        <f t="shared" si="22"/>
        <v>33143.79</v>
      </c>
      <c r="F256" s="139">
        <f>+F255</f>
        <v>3314379</v>
      </c>
      <c r="G256" s="101" t="s">
        <v>132</v>
      </c>
      <c r="H256" s="97">
        <v>2016</v>
      </c>
      <c r="I256" s="101"/>
      <c r="J256" s="104">
        <v>43847</v>
      </c>
      <c r="K256" s="97" t="s">
        <v>197</v>
      </c>
      <c r="L256" s="112"/>
      <c r="M256" s="112"/>
      <c r="N256" s="112"/>
      <c r="V256" s="112"/>
      <c r="W256" s="112"/>
      <c r="X256" s="112"/>
      <c r="Y256" s="112"/>
      <c r="Z256" s="112"/>
      <c r="AA256" s="112"/>
      <c r="AB256" s="112"/>
    </row>
    <row r="257" spans="2:28" x14ac:dyDescent="0.2">
      <c r="B257" s="97" t="s">
        <v>73</v>
      </c>
      <c r="C257" s="138">
        <f>E257*Factores!$I$14</f>
        <v>244623.45898268354</v>
      </c>
      <c r="D257" s="97" t="s">
        <v>88</v>
      </c>
      <c r="E257" s="138">
        <f t="shared" si="22"/>
        <v>33143.79</v>
      </c>
      <c r="F257" s="139">
        <f>+F256</f>
        <v>3314379</v>
      </c>
      <c r="G257" s="101" t="s">
        <v>133</v>
      </c>
      <c r="H257" s="97">
        <v>2016</v>
      </c>
      <c r="I257" s="101"/>
      <c r="J257" s="104">
        <v>43847</v>
      </c>
      <c r="K257" s="97" t="s">
        <v>197</v>
      </c>
      <c r="L257" s="112"/>
      <c r="M257" s="112"/>
      <c r="N257" s="112"/>
      <c r="V257" s="112"/>
      <c r="W257" s="112"/>
      <c r="X257" s="112"/>
      <c r="Y257" s="112"/>
      <c r="Z257" s="112"/>
      <c r="AA257" s="112"/>
      <c r="AB257" s="112"/>
    </row>
    <row r="258" spans="2:28" x14ac:dyDescent="0.2">
      <c r="B258" s="97" t="s">
        <v>73</v>
      </c>
      <c r="C258" s="138">
        <f>E258*Factores!$I$14</f>
        <v>234971.21232153478</v>
      </c>
      <c r="D258" s="97" t="s">
        <v>88</v>
      </c>
      <c r="E258" s="138">
        <f t="shared" si="22"/>
        <v>31836.016666666663</v>
      </c>
      <c r="F258" s="139">
        <f>'[2]Vales FISE'!C28/3</f>
        <v>3183601.6666666665</v>
      </c>
      <c r="G258" s="101" t="s">
        <v>131</v>
      </c>
      <c r="H258" s="97">
        <v>2017</v>
      </c>
      <c r="I258" s="101"/>
      <c r="J258" s="104">
        <v>43847</v>
      </c>
      <c r="K258" s="97" t="s">
        <v>197</v>
      </c>
      <c r="L258" s="112"/>
      <c r="M258" s="112"/>
      <c r="N258" s="112"/>
      <c r="V258" s="112"/>
      <c r="W258" s="112"/>
      <c r="X258" s="112"/>
      <c r="Y258" s="112"/>
      <c r="Z258" s="112"/>
      <c r="AA258" s="112"/>
      <c r="AB258" s="112"/>
    </row>
    <row r="259" spans="2:28" x14ac:dyDescent="0.2">
      <c r="B259" s="97" t="s">
        <v>73</v>
      </c>
      <c r="C259" s="138">
        <f>E259*Factores!$I$14</f>
        <v>234971.21232153478</v>
      </c>
      <c r="D259" s="97" t="s">
        <v>88</v>
      </c>
      <c r="E259" s="138">
        <f t="shared" si="22"/>
        <v>31836.016666666663</v>
      </c>
      <c r="F259" s="139">
        <f>+F258</f>
        <v>3183601.6666666665</v>
      </c>
      <c r="G259" s="101" t="s">
        <v>132</v>
      </c>
      <c r="H259" s="97">
        <v>2017</v>
      </c>
      <c r="I259" s="101"/>
      <c r="J259" s="104">
        <v>43847</v>
      </c>
      <c r="K259" s="97" t="s">
        <v>197</v>
      </c>
      <c r="L259" s="112"/>
      <c r="M259" s="112"/>
      <c r="N259" s="112"/>
      <c r="V259" s="112"/>
      <c r="W259" s="112"/>
      <c r="X259" s="112"/>
      <c r="Y259" s="112"/>
      <c r="Z259" s="112"/>
      <c r="AA259" s="112"/>
      <c r="AB259" s="112"/>
    </row>
    <row r="260" spans="2:28" x14ac:dyDescent="0.2">
      <c r="B260" s="97" t="s">
        <v>73</v>
      </c>
      <c r="C260" s="138">
        <f>E260*Factores!$I$14</f>
        <v>234971.21232153478</v>
      </c>
      <c r="D260" s="97" t="s">
        <v>88</v>
      </c>
      <c r="E260" s="138">
        <f t="shared" si="22"/>
        <v>31836.016666666663</v>
      </c>
      <c r="F260" s="139">
        <f>+F259</f>
        <v>3183601.6666666665</v>
      </c>
      <c r="G260" s="101" t="s">
        <v>133</v>
      </c>
      <c r="H260" s="97">
        <v>2017</v>
      </c>
      <c r="I260" s="101"/>
      <c r="J260" s="104">
        <v>43847</v>
      </c>
      <c r="K260" s="97" t="s">
        <v>197</v>
      </c>
      <c r="L260" s="112"/>
      <c r="M260" s="112"/>
      <c r="N260" s="112"/>
      <c r="V260" s="112"/>
      <c r="W260" s="112"/>
      <c r="X260" s="112"/>
      <c r="Y260" s="112"/>
      <c r="Z260" s="112"/>
      <c r="AA260" s="112"/>
      <c r="AB260" s="112"/>
    </row>
    <row r="261" spans="2:28" x14ac:dyDescent="0.2">
      <c r="B261" s="97" t="s">
        <v>73</v>
      </c>
      <c r="C261" s="138">
        <f>E261*Factores!$I$14</f>
        <v>234316.57127413998</v>
      </c>
      <c r="D261" s="97" t="s">
        <v>88</v>
      </c>
      <c r="E261" s="138">
        <f t="shared" si="22"/>
        <v>31747.32</v>
      </c>
      <c r="F261" s="139">
        <f>'[2]Vales FISE'!C29/3</f>
        <v>3174732</v>
      </c>
      <c r="G261" s="101" t="s">
        <v>131</v>
      </c>
      <c r="H261" s="97">
        <v>2018</v>
      </c>
      <c r="I261" s="101"/>
      <c r="J261" s="104">
        <v>43847</v>
      </c>
      <c r="K261" s="97" t="s">
        <v>197</v>
      </c>
      <c r="L261" s="112"/>
      <c r="M261" s="112"/>
      <c r="N261" s="112"/>
      <c r="V261" s="112"/>
      <c r="W261" s="112"/>
      <c r="X261" s="112"/>
      <c r="Y261" s="112"/>
      <c r="Z261" s="112"/>
      <c r="AA261" s="112"/>
      <c r="AB261" s="112"/>
    </row>
    <row r="262" spans="2:28" x14ac:dyDescent="0.2">
      <c r="B262" s="97" t="s">
        <v>73</v>
      </c>
      <c r="C262" s="138">
        <f>E262*Factores!$I$14</f>
        <v>234316.57127413998</v>
      </c>
      <c r="D262" s="97" t="s">
        <v>88</v>
      </c>
      <c r="E262" s="138">
        <f t="shared" si="22"/>
        <v>31747.32</v>
      </c>
      <c r="F262" s="139">
        <f>+F261</f>
        <v>3174732</v>
      </c>
      <c r="G262" s="101" t="s">
        <v>132</v>
      </c>
      <c r="H262" s="97">
        <v>2018</v>
      </c>
      <c r="I262" s="101"/>
      <c r="J262" s="104">
        <v>43847</v>
      </c>
      <c r="K262" s="97" t="s">
        <v>197</v>
      </c>
      <c r="L262" s="112"/>
      <c r="M262" s="112"/>
      <c r="N262" s="112"/>
      <c r="V262" s="112"/>
      <c r="W262" s="112"/>
      <c r="X262" s="112"/>
      <c r="Y262" s="112"/>
      <c r="Z262" s="112"/>
      <c r="AA262" s="112"/>
      <c r="AB262" s="112"/>
    </row>
    <row r="263" spans="2:28" x14ac:dyDescent="0.2">
      <c r="B263" s="97" t="s">
        <v>73</v>
      </c>
      <c r="C263" s="138">
        <f>E263*Factores!$I$14</f>
        <v>234316.57127413998</v>
      </c>
      <c r="D263" s="97" t="s">
        <v>88</v>
      </c>
      <c r="E263" s="138">
        <f t="shared" si="22"/>
        <v>31747.32</v>
      </c>
      <c r="F263" s="139">
        <f>+F262</f>
        <v>3174732</v>
      </c>
      <c r="G263" s="101" t="s">
        <v>133</v>
      </c>
      <c r="H263" s="97">
        <v>2018</v>
      </c>
      <c r="I263" s="101"/>
      <c r="J263" s="104">
        <v>43847</v>
      </c>
      <c r="K263" s="97" t="s">
        <v>197</v>
      </c>
      <c r="L263" s="112"/>
      <c r="M263" s="112"/>
      <c r="N263" s="112"/>
      <c r="V263" s="112"/>
      <c r="W263" s="112"/>
      <c r="X263" s="112"/>
      <c r="Y263" s="112"/>
      <c r="Z263" s="112"/>
      <c r="AA263" s="112"/>
      <c r="AB263" s="112"/>
    </row>
    <row r="264" spans="2:28" x14ac:dyDescent="0.2">
      <c r="B264" s="97" t="s">
        <v>73</v>
      </c>
      <c r="C264" s="138">
        <f>E264*Factores!$I$14</f>
        <v>212856.38033619264</v>
      </c>
      <c r="D264" s="97" t="s">
        <v>88</v>
      </c>
      <c r="E264" s="138">
        <f t="shared" si="22"/>
        <v>28839.7</v>
      </c>
      <c r="F264" s="139">
        <f>'[2]Vales FISE'!C30/3</f>
        <v>2883970</v>
      </c>
      <c r="G264" s="101" t="s">
        <v>131</v>
      </c>
      <c r="H264" s="97">
        <v>2019</v>
      </c>
      <c r="I264" s="101"/>
      <c r="J264" s="104">
        <v>43847</v>
      </c>
      <c r="K264" s="97" t="s">
        <v>197</v>
      </c>
      <c r="L264" s="112"/>
      <c r="M264" s="112"/>
      <c r="N264" s="112"/>
      <c r="V264" s="112"/>
      <c r="W264" s="112"/>
      <c r="X264" s="112"/>
      <c r="Y264" s="112"/>
      <c r="Z264" s="112"/>
      <c r="AA264" s="112"/>
      <c r="AB264" s="112"/>
    </row>
    <row r="265" spans="2:28" x14ac:dyDescent="0.2">
      <c r="B265" s="97" t="s">
        <v>73</v>
      </c>
      <c r="C265" s="138">
        <f>E265*Factores!$I$14</f>
        <v>212856.38033619264</v>
      </c>
      <c r="D265" s="97" t="s">
        <v>88</v>
      </c>
      <c r="E265" s="138">
        <f t="shared" si="22"/>
        <v>28839.7</v>
      </c>
      <c r="F265" s="139">
        <f>+F264</f>
        <v>2883970</v>
      </c>
      <c r="G265" s="101" t="s">
        <v>132</v>
      </c>
      <c r="H265" s="97">
        <v>2019</v>
      </c>
      <c r="I265" s="101"/>
      <c r="J265" s="104">
        <v>43847</v>
      </c>
      <c r="K265" s="97" t="s">
        <v>197</v>
      </c>
      <c r="L265" s="112"/>
      <c r="M265" s="112"/>
      <c r="N265" s="112"/>
      <c r="V265" s="112"/>
      <c r="W265" s="112"/>
      <c r="X265" s="112"/>
      <c r="Y265" s="112"/>
      <c r="Z265" s="112"/>
      <c r="AA265" s="112"/>
      <c r="AB265" s="112"/>
    </row>
    <row r="266" spans="2:28" x14ac:dyDescent="0.2">
      <c r="B266" s="97" t="s">
        <v>73</v>
      </c>
      <c r="C266" s="138">
        <f>E266*Factores!$I$14</f>
        <v>212856.38033619264</v>
      </c>
      <c r="D266" s="97" t="s">
        <v>88</v>
      </c>
      <c r="E266" s="138">
        <f t="shared" si="22"/>
        <v>28839.7</v>
      </c>
      <c r="F266" s="139">
        <f>+F265</f>
        <v>2883970</v>
      </c>
      <c r="G266" s="101" t="s">
        <v>133</v>
      </c>
      <c r="H266" s="97">
        <v>2019</v>
      </c>
      <c r="I266" s="101"/>
      <c r="J266" s="104">
        <v>43847</v>
      </c>
      <c r="K266" s="97" t="s">
        <v>197</v>
      </c>
      <c r="L266" s="112"/>
      <c r="M266" s="112"/>
      <c r="N266" s="112"/>
      <c r="V266" s="112"/>
      <c r="W266" s="112"/>
      <c r="X266" s="112"/>
      <c r="Y266" s="112"/>
      <c r="Z266" s="112"/>
      <c r="AA266" s="112"/>
      <c r="AB266" s="112"/>
    </row>
    <row r="267" spans="2:28" ht="5.25" customHeight="1" x14ac:dyDescent="0.2">
      <c r="B267" s="113"/>
      <c r="C267" s="114"/>
      <c r="D267" s="114"/>
      <c r="E267" s="113"/>
      <c r="F267" s="115"/>
      <c r="G267" s="115"/>
      <c r="H267" s="115"/>
      <c r="I267" s="115"/>
      <c r="J267" s="115"/>
      <c r="K267" s="115"/>
      <c r="L267" s="115"/>
    </row>
    <row r="268" spans="2:28" ht="15" hidden="1" thickBot="1" x14ac:dyDescent="0.3">
      <c r="B268" s="157"/>
      <c r="C268" s="212" t="s">
        <v>119</v>
      </c>
      <c r="D268" s="213"/>
      <c r="E268" s="158" t="s">
        <v>160</v>
      </c>
      <c r="F268" s="159" t="s">
        <v>161</v>
      </c>
      <c r="G268" s="160" t="s">
        <v>162</v>
      </c>
      <c r="H268" s="160" t="s">
        <v>166</v>
      </c>
      <c r="I268" s="160" t="s">
        <v>258</v>
      </c>
      <c r="J268" s="160" t="s">
        <v>259</v>
      </c>
      <c r="K268" s="160" t="s">
        <v>163</v>
      </c>
      <c r="L268" s="161" t="s">
        <v>165</v>
      </c>
    </row>
    <row r="269" spans="2:28" ht="14.25" hidden="1" x14ac:dyDescent="0.25">
      <c r="B269" s="162" t="s">
        <v>177</v>
      </c>
      <c r="C269" s="163">
        <f>((C175*((Factores!C6*Factores!$L$4)+Factores!$N$4*Factores!$L$20+Factores!$P$4*Factores!$L$21)*Factores!$J$4)-(E175*(Factores!$L$5+Factores!$N$5*Factores!$L$20+Factores!$P$5*Factores!$L$21)*Factores!$J$5))</f>
        <v>0</v>
      </c>
      <c r="D269" s="164" t="s">
        <v>260</v>
      </c>
      <c r="E269" s="165">
        <f>($C175*Factores!$J$4*1000*Factores!U$4-Formato!$E175*Factores!$J$5*1000*Factores!U$5)/1000000</f>
        <v>0</v>
      </c>
      <c r="F269" s="165">
        <f>($C175*Factores!$J$4*1000*Factores!V$4-Formato!$E175*Factores!$J$5*1000*Factores!V$5)/1000000</f>
        <v>0</v>
      </c>
      <c r="G269" s="165">
        <f>($C175*Factores!$J$4*1000*Factores!W4-Formato!$E175*Factores!$J$5*1000*Factores!W5)/1000000</f>
        <v>0</v>
      </c>
      <c r="H269" s="165">
        <f>($C175*Factores!$J$4*1000*Factores!X4-Formato!$E175*Factores!$J$5*1000*Factores!X5)/1000000</f>
        <v>0</v>
      </c>
      <c r="I269" s="165">
        <f>($C175*Factores!$J$4*1000*Factores!Y4-Formato!$E175*Factores!$J$5*1000*Factores!Y5)/1000000</f>
        <v>0</v>
      </c>
      <c r="J269" s="165">
        <f>($C175*Factores!$J$4*1000*Factores!Z4-Formato!$E175*Factores!$J$5*1000*Factores!Z5)/1000000</f>
        <v>0</v>
      </c>
      <c r="K269" s="165">
        <f>($C175*Factores!$J$4*1000*Factores!AA4-Formato!$E175*Factores!$J$5*1000*Factores!AA5)/1000000</f>
        <v>0</v>
      </c>
      <c r="L269" s="123" t="s">
        <v>164</v>
      </c>
    </row>
    <row r="270" spans="2:28" ht="14.25" hidden="1" x14ac:dyDescent="0.25">
      <c r="B270" s="166" t="s">
        <v>178</v>
      </c>
      <c r="C270" s="105">
        <f>((C212*((Factores!C7*Factores!$L$4)+Factores!$N$4*Factores!$L$20+Factores!$P$4*Factores!$L$21)*Factores!$J$4)-(E212*(Factores!$L$5+Factores!$N$5*Factores!$L$20+Factores!$P$5*Factores!$L$21)*Factores!$J$5))</f>
        <v>594.95057424014453</v>
      </c>
      <c r="D270" s="112" t="s">
        <v>260</v>
      </c>
      <c r="E270" s="167">
        <f>($C212*Factores!$J$4*1000*Factores!U$4-Formato!$E212*Factores!$J$5*1000*Factores!U$5)/1000000</f>
        <v>133.98179624920058</v>
      </c>
      <c r="F270" s="167">
        <f>($C212*Factores!$J$4*1000*Factores!V$4-Formato!$E212*Factores!$J$5*1000*Factores!V$5)/1000000</f>
        <v>0.97560468088167396</v>
      </c>
      <c r="G270" s="167">
        <f>($C212*Factores!$J$4*1000*Factores!W$4-Formato!$E212*Factores!$J$5*1000*Factores!W$5)/1000000</f>
        <v>20.124863626713424</v>
      </c>
      <c r="H270" s="167">
        <f>($C212*Factores!$J$4*1000*Factores!X$4-Formato!$E212*Factores!$J$5*1000*Factores!X$5)/1000000</f>
        <v>0.36529730355396833</v>
      </c>
      <c r="I270" s="167">
        <f>($C212*Factores!$J$4*1000*Factores!Y$4-Formato!$E212*Factores!$J$5*1000*Factores!Y$5)/1000000</f>
        <v>25.508142421401445</v>
      </c>
      <c r="J270" s="167">
        <f>($C212*Factores!$J$4*1000*Factores!Z$4-Formato!$E212*Factores!$J$5*1000*Factores!Z$5)/1000000</f>
        <v>24.836439817848774</v>
      </c>
      <c r="K270" s="167">
        <f>($C212*Factores!$J$4*1000*Factores!AA$4-Formato!$E212*Factores!$J$5*1000*Factores!AA$5)/1000000</f>
        <v>2.4844055814104773</v>
      </c>
      <c r="L270" s="168" t="s">
        <v>164</v>
      </c>
    </row>
    <row r="271" spans="2:28" ht="14.25" hidden="1" x14ac:dyDescent="0.25">
      <c r="B271" s="166" t="s">
        <v>179</v>
      </c>
      <c r="C271" s="105">
        <f>((C249*((Factores!C8*Factores!$L$4)+Factores!$N$4*Factores!$L$20+Factores!$P$4*Factores!$L$21)*Factores!$J$4)-(E249*(Factores!$L$5+Factores!$N$5*Factores!$L$20+Factores!$P$5*Factores!$L$21)*Factores!$J$5))</f>
        <v>39587.492324490726</v>
      </c>
      <c r="D271" s="112" t="s">
        <v>260</v>
      </c>
      <c r="E271" s="167">
        <f>($C249*Factores!$J$4*1000*Factores!U$4-Formato!$E249*Factores!$J$5*1000*Factores!U$5)/1000000</f>
        <v>8915.0318703546855</v>
      </c>
      <c r="F271" s="167">
        <f>($C249*Factores!$J$4*1000*Factores!V$4-Formato!$E249*Factores!$J$5*1000*Factores!V$5)/1000000</f>
        <v>64.915884593383552</v>
      </c>
      <c r="G271" s="167">
        <f>($C249*Factores!$J$4*1000*Factores!W$4-Formato!$E249*Factores!$J$5*1000*Factores!W$5)/1000000</f>
        <v>1339.0908738452029</v>
      </c>
      <c r="H271" s="167">
        <f>($C249*Factores!$J$4*1000*Factores!X$4-Formato!$E249*Factores!$J$5*1000*Factores!X$5)/1000000</f>
        <v>24.306563984864383</v>
      </c>
      <c r="I271" s="167">
        <f>($C249*Factores!$J$4*1000*Factores!Y$4-Formato!$E249*Factores!$J$5*1000*Factores!Y$5)/1000000</f>
        <v>1697.2895498234302</v>
      </c>
      <c r="J271" s="167">
        <f>($C249*Factores!$J$4*1000*Factores!Z$4-Formato!$E249*Factores!$J$5*1000*Factores!Z$5)/1000000</f>
        <v>1652.5950444076766</v>
      </c>
      <c r="K271" s="167">
        <f>($C249*Factores!$J$4*1000*Factores!AA$4-Formato!$E249*Factores!$J$5*1000*Factores!AA$5)/1000000</f>
        <v>165.31018061562688</v>
      </c>
      <c r="L271" s="168" t="s">
        <v>164</v>
      </c>
    </row>
    <row r="272" spans="2:28" ht="14.25" hidden="1" x14ac:dyDescent="0.25">
      <c r="B272" s="166" t="s">
        <v>180</v>
      </c>
      <c r="C272" s="105">
        <f>((C252*((Factores!C9*Factores!$L$4)+Factores!$N$4*Factores!$L$20+Factores!$P$4*Factores!$L$21)*Factores!$J$4)-(E252*(Factores!$L$5+Factores!$N$5*Factores!$L$20+Factores!$P$5*Factores!$L$21)*Factores!$J$5))</f>
        <v>54955.530424006443</v>
      </c>
      <c r="D272" s="112" t="s">
        <v>260</v>
      </c>
      <c r="E272" s="167">
        <f>($C252*Factores!$J$4*1000*Factores!U$4-Formato!$E252*Factores!$J$5*1000*Factores!U$5)/1000000</f>
        <v>12375.886332137525</v>
      </c>
      <c r="F272" s="167">
        <f>($C252*Factores!$J$4*1000*Factores!V$4-Formato!$E252*Factores!$J$5*1000*Factores!V$5)/1000000</f>
        <v>90.116515629002421</v>
      </c>
      <c r="G272" s="167">
        <f>($C252*Factores!$J$4*1000*Factores!W$4-Formato!$E252*Factores!$J$5*1000*Factores!W$5)/1000000</f>
        <v>1858.9318225792956</v>
      </c>
      <c r="H272" s="167">
        <f>($C252*Factores!$J$4*1000*Factores!X$4-Formato!$E252*Factores!$J$5*1000*Factores!X$5)/1000000</f>
        <v>33.742478700700531</v>
      </c>
      <c r="I272" s="167">
        <f>($C252*Factores!$J$4*1000*Factores!Y$4-Formato!$E252*Factores!$J$5*1000*Factores!Y$5)/1000000</f>
        <v>2356.1847951648369</v>
      </c>
      <c r="J272" s="167">
        <f>($C252*Factores!$J$4*1000*Factores!Z$4-Formato!$E252*Factores!$J$5*1000*Factores!Z$5)/1000000</f>
        <v>2294.1396867748358</v>
      </c>
      <c r="K272" s="167">
        <f>($C252*Factores!$J$4*1000*Factores!AA$4-Formato!$E252*Factores!$J$5*1000*Factores!AA$5)/1000000</f>
        <v>229.48431756562275</v>
      </c>
      <c r="L272" s="168" t="s">
        <v>164</v>
      </c>
    </row>
    <row r="273" spans="2:12" ht="14.25" hidden="1" x14ac:dyDescent="0.25">
      <c r="B273" s="166" t="s">
        <v>181</v>
      </c>
      <c r="C273" s="105">
        <f>((C255*((Factores!C10*Factores!$L$4)+Factores!$N$4*Factores!$L$20+Factores!$P$4*Factores!$L$21)*Factores!$J$4)-(E255*(Factores!$L$5+Factores!$N$5*Factores!$L$20+Factores!$P$5*Factores!$L$21)*Factores!$J$5))</f>
        <v>67601.534349984344</v>
      </c>
      <c r="D273" s="112" t="s">
        <v>260</v>
      </c>
      <c r="E273" s="167">
        <f>($C255*Factores!$J$4*1000*Factores!U$4-Formato!$E255*Factores!$J$5*1000*Factores!U$5)/1000000</f>
        <v>15223.743607577453</v>
      </c>
      <c r="F273" s="167">
        <f>($C255*Factores!$J$4*1000*Factores!V$4-Formato!$E255*Factores!$J$5*1000*Factores!V$5)/1000000</f>
        <v>110.85353338949314</v>
      </c>
      <c r="G273" s="167">
        <f>($C255*Factores!$J$4*1000*Factores!W$4-Formato!$E255*Factores!$J$5*1000*Factores!W$5)/1000000</f>
        <v>2286.6969436706181</v>
      </c>
      <c r="H273" s="167">
        <f>($C255*Factores!$J$4*1000*Factores!X$4-Formato!$E255*Factores!$J$5*1000*Factores!X$5)/1000000</f>
        <v>41.507075181328496</v>
      </c>
      <c r="I273" s="167">
        <f>($C255*Factores!$J$4*1000*Factores!Y$4-Formato!$E255*Factores!$J$5*1000*Factores!Y$5)/1000000</f>
        <v>2898.3744881782959</v>
      </c>
      <c r="J273" s="167">
        <f>($C255*Factores!$J$4*1000*Factores!Z$4-Formato!$E255*Factores!$J$5*1000*Factores!Z$5)/1000000</f>
        <v>2822.0519689756984</v>
      </c>
      <c r="K273" s="167">
        <f>($C255*Factores!$J$4*1000*Factores!AA$4-Formato!$E255*Factores!$J$5*1000*Factores!AA$5)/1000000</f>
        <v>282.2917340075083</v>
      </c>
      <c r="L273" s="168" t="s">
        <v>164</v>
      </c>
    </row>
    <row r="274" spans="2:12" ht="14.25" hidden="1" x14ac:dyDescent="0.25">
      <c r="B274" s="166" t="s">
        <v>182</v>
      </c>
      <c r="C274" s="105">
        <f>((C258*((Factores!C11*Factores!$L$4)+Factores!$N$4*Factores!$L$20+Factores!$P$4*Factores!$L$21)*Factores!$J$4)-(E258*(Factores!$L$5+Factores!$N$5*Factores!$L$20+Factores!$P$5*Factores!$L$21)*Factores!$J$5))</f>
        <v>64934.142240773901</v>
      </c>
      <c r="D274" s="112" t="s">
        <v>260</v>
      </c>
      <c r="E274" s="167">
        <f>($C258*Factores!$J$4*1000*Factores!U$4-Formato!$E258*Factores!$J$5*1000*Factores!U$5)/1000000</f>
        <v>14623.051715567102</v>
      </c>
      <c r="F274" s="167">
        <f>($C258*Factores!$J$4*1000*Factores!V$4-Formato!$E258*Factores!$J$5*1000*Factores!V$5)/1000000</f>
        <v>106.47952260579714</v>
      </c>
      <c r="G274" s="167">
        <f>($C258*Factores!$J$4*1000*Factores!W$4-Formato!$E258*Factores!$J$5*1000*Factores!W$5)/1000000</f>
        <v>2196.469444511732</v>
      </c>
      <c r="H274" s="167">
        <f>($C258*Factores!$J$4*1000*Factores!X$4-Formato!$E258*Factores!$J$5*1000*Factores!X$5)/1000000</f>
        <v>39.869306957875374</v>
      </c>
      <c r="I274" s="167">
        <f>($C258*Factores!$J$4*1000*Factores!Y$4-Formato!$E258*Factores!$J$5*1000*Factores!Y$5)/1000000</f>
        <v>2784.0116809781161</v>
      </c>
      <c r="J274" s="167">
        <f>($C258*Factores!$J$4*1000*Factores!Z$4-Formato!$E258*Factores!$J$5*1000*Factores!Z$5)/1000000</f>
        <v>2710.7006627337969</v>
      </c>
      <c r="K274" s="167">
        <f>($C258*Factores!$J$4*1000*Factores!AA$4-Formato!$E258*Factores!$J$5*1000*Factores!AA$5)/1000000</f>
        <v>271.15318883945571</v>
      </c>
      <c r="L274" s="168" t="s">
        <v>164</v>
      </c>
    </row>
    <row r="275" spans="2:12" ht="14.25" hidden="1" x14ac:dyDescent="0.25">
      <c r="B275" s="166" t="s">
        <v>183</v>
      </c>
      <c r="C275" s="105">
        <f>((C261*((Factores!C12*Factores!$L$4)+Factores!$N$4*Factores!$L$20+Factores!$P$4*Factores!$L$21)*Factores!$J$4)-(E261*(Factores!$L$5+Factores!$N$5*Factores!$L$20+Factores!$P$5*Factores!$L$21)*Factores!$J$5))</f>
        <v>64753.232611597632</v>
      </c>
      <c r="D275" s="112" t="s">
        <v>260</v>
      </c>
      <c r="E275" s="167">
        <f>($C261*Factores!$J$4*1000*Factores!U$4-Formato!$E261*Factores!$J$5*1000*Factores!U$5)/1000000</f>
        <v>14582.311193370335</v>
      </c>
      <c r="F275" s="167">
        <f>($C261*Factores!$J$4*1000*Factores!V$4-Formato!$E261*Factores!$J$5*1000*Factores!V$5)/1000000</f>
        <v>106.18286555782919</v>
      </c>
      <c r="G275" s="167">
        <f>($C261*Factores!$J$4*1000*Factores!W$4-Formato!$E261*Factores!$J$5*1000*Factores!W$5)/1000000</f>
        <v>2190.3499754775503</v>
      </c>
      <c r="H275" s="167">
        <f>($C261*Factores!$J$4*1000*Factores!X$4-Formato!$E261*Factores!$J$5*1000*Factores!X$5)/1000000</f>
        <v>39.758229159842422</v>
      </c>
      <c r="I275" s="167">
        <f>($C261*Factores!$J$4*1000*Factores!Y$4-Formato!$E261*Factores!$J$5*1000*Factores!Y$5)/1000000</f>
        <v>2776.2552911430034</v>
      </c>
      <c r="J275" s="167">
        <f>($C261*Factores!$J$4*1000*Factores!Z$4-Formato!$E261*Factores!$J$5*1000*Factores!Z$5)/1000000</f>
        <v>2703.1485209054717</v>
      </c>
      <c r="K275" s="167">
        <f>($C261*Factores!$J$4*1000*Factores!AA$4-Formato!$E261*Factores!$J$5*1000*Factores!AA$5)/1000000</f>
        <v>270.39774307317441</v>
      </c>
      <c r="L275" s="168" t="s">
        <v>164</v>
      </c>
    </row>
    <row r="276" spans="2:12" ht="14.25" hidden="1" x14ac:dyDescent="0.25">
      <c r="B276" s="169" t="s">
        <v>184</v>
      </c>
      <c r="C276" s="170">
        <f>((C264*((Factores!C13*Factores!$L$4)+Factores!$N$4*Factores!$L$20+Factores!$P$4*Factores!$L$21)*Factores!$J$4)-(E264*(Factores!$L$5+Factores!$N$5*Factores!$L$20+Factores!$P$5*Factores!$L$21)*Factores!$J$5))</f>
        <v>58822.722754194459</v>
      </c>
      <c r="D276" s="148" t="s">
        <v>260</v>
      </c>
      <c r="E276" s="171">
        <f>($C264*Factores!$J$4*1000*Factores!U$4-Formato!$E264*Factores!$J$5*1000*Factores!U$5)/1000000</f>
        <v>13246.771069918421</v>
      </c>
      <c r="F276" s="171">
        <f>($C264*Factores!$J$4*1000*Factores!V$4-Formato!$E264*Factores!$J$5*1000*Factores!V$5)/1000000</f>
        <v>96.457968352230239</v>
      </c>
      <c r="G276" s="171">
        <f>($C264*Factores!$J$4*1000*Factores!W$4-Formato!$E264*Factores!$J$5*1000*Factores!W$5)/1000000</f>
        <v>1989.743896107763</v>
      </c>
      <c r="H276" s="171">
        <f>($C264*Factores!$J$4*1000*Factores!X$4-Formato!$E264*Factores!$J$5*1000*Factores!X$5)/1000000</f>
        <v>36.116919522690651</v>
      </c>
      <c r="I276" s="171">
        <f>($C264*Factores!$J$4*1000*Factores!Y$4-Formato!$E264*Factores!$J$5*1000*Factores!Y$5)/1000000</f>
        <v>2521.9883038939001</v>
      </c>
      <c r="J276" s="171">
        <f>($C264*Factores!$J$4*1000*Factores!Z$4-Formato!$E264*Factores!$J$5*1000*Factores!Z$5)/1000000</f>
        <v>2455.5771132290079</v>
      </c>
      <c r="K276" s="171">
        <f>($C264*Factores!$J$4*1000*Factores!AA$4-Formato!$E264*Factores!$J$5*1000*Factores!AA$5)/1000000</f>
        <v>245.63301062601278</v>
      </c>
      <c r="L276" s="172" t="s">
        <v>164</v>
      </c>
    </row>
    <row r="277" spans="2:12" ht="14.25" hidden="1" x14ac:dyDescent="0.25">
      <c r="B277" s="166" t="s">
        <v>185</v>
      </c>
      <c r="C277" s="112"/>
      <c r="D277" s="148" t="s">
        <v>260</v>
      </c>
      <c r="E277" s="112"/>
      <c r="F277" s="112"/>
      <c r="G277" s="112"/>
      <c r="H277" s="112"/>
      <c r="I277" s="112"/>
      <c r="J277" s="112"/>
      <c r="K277" s="112"/>
      <c r="L277" s="172" t="s">
        <v>164</v>
      </c>
    </row>
    <row r="278" spans="2:12" ht="14.25" hidden="1" x14ac:dyDescent="0.25">
      <c r="B278" s="166" t="s">
        <v>186</v>
      </c>
      <c r="C278" s="112"/>
      <c r="D278" s="148" t="s">
        <v>260</v>
      </c>
      <c r="E278" s="112"/>
      <c r="F278" s="112"/>
      <c r="G278" s="112"/>
      <c r="H278" s="112"/>
      <c r="I278" s="112"/>
      <c r="J278" s="112"/>
      <c r="K278" s="112"/>
      <c r="L278" s="172" t="s">
        <v>164</v>
      </c>
    </row>
    <row r="279" spans="2:12" ht="14.25" hidden="1" x14ac:dyDescent="0.25">
      <c r="B279" s="166" t="s">
        <v>187</v>
      </c>
      <c r="C279" s="112"/>
      <c r="D279" s="148" t="s">
        <v>260</v>
      </c>
      <c r="E279" s="112"/>
      <c r="F279" s="112"/>
      <c r="G279" s="112"/>
      <c r="H279" s="112"/>
      <c r="I279" s="112"/>
      <c r="J279" s="112"/>
      <c r="K279" s="112"/>
      <c r="L279" s="172" t="s">
        <v>164</v>
      </c>
    </row>
    <row r="280" spans="2:12" ht="14.25" hidden="1" x14ac:dyDescent="0.25">
      <c r="B280" s="166" t="s">
        <v>188</v>
      </c>
      <c r="C280" s="112"/>
      <c r="D280" s="148" t="s">
        <v>260</v>
      </c>
      <c r="E280" s="112"/>
      <c r="F280" s="112"/>
      <c r="G280" s="112"/>
      <c r="H280" s="112"/>
      <c r="I280" s="112"/>
      <c r="J280" s="112"/>
      <c r="K280" s="112"/>
      <c r="L280" s="172" t="s">
        <v>164</v>
      </c>
    </row>
    <row r="281" spans="2:12" ht="14.25" hidden="1" x14ac:dyDescent="0.25">
      <c r="B281" s="166" t="s">
        <v>189</v>
      </c>
      <c r="C281" s="112"/>
      <c r="D281" s="148" t="s">
        <v>260</v>
      </c>
      <c r="E281" s="112"/>
      <c r="F281" s="112"/>
      <c r="G281" s="112"/>
      <c r="H281" s="112"/>
      <c r="I281" s="112"/>
      <c r="J281" s="112"/>
      <c r="K281" s="112"/>
      <c r="L281" s="172" t="s">
        <v>164</v>
      </c>
    </row>
    <row r="282" spans="2:12" ht="14.25" hidden="1" x14ac:dyDescent="0.25">
      <c r="B282" s="166" t="s">
        <v>190</v>
      </c>
      <c r="C282" s="112"/>
      <c r="D282" s="148" t="s">
        <v>260</v>
      </c>
      <c r="E282" s="112"/>
      <c r="F282" s="112"/>
      <c r="G282" s="112"/>
      <c r="H282" s="112"/>
      <c r="I282" s="112"/>
      <c r="J282" s="112"/>
      <c r="K282" s="112"/>
      <c r="L282" s="172" t="s">
        <v>164</v>
      </c>
    </row>
    <row r="283" spans="2:12" ht="14.25" hidden="1" x14ac:dyDescent="0.25">
      <c r="B283" s="166" t="s">
        <v>191</v>
      </c>
      <c r="C283" s="112"/>
      <c r="D283" s="148" t="s">
        <v>260</v>
      </c>
      <c r="E283" s="112"/>
      <c r="F283" s="112"/>
      <c r="G283" s="112"/>
      <c r="H283" s="112"/>
      <c r="I283" s="112"/>
      <c r="J283" s="112"/>
      <c r="K283" s="112"/>
      <c r="L283" s="172" t="s">
        <v>164</v>
      </c>
    </row>
    <row r="284" spans="2:12" ht="14.25" hidden="1" x14ac:dyDescent="0.25">
      <c r="B284" s="166" t="s">
        <v>192</v>
      </c>
      <c r="C284" s="112"/>
      <c r="D284" s="148" t="s">
        <v>260</v>
      </c>
      <c r="E284" s="112"/>
      <c r="F284" s="112"/>
      <c r="G284" s="112"/>
      <c r="H284" s="112"/>
      <c r="I284" s="112"/>
      <c r="J284" s="112"/>
      <c r="K284" s="112"/>
      <c r="L284" s="172" t="s">
        <v>164</v>
      </c>
    </row>
    <row r="285" spans="2:12" ht="14.25" hidden="1" x14ac:dyDescent="0.25">
      <c r="B285" s="166" t="s">
        <v>193</v>
      </c>
      <c r="C285" s="112"/>
      <c r="D285" s="148" t="s">
        <v>260</v>
      </c>
      <c r="E285" s="112"/>
      <c r="F285" s="112"/>
      <c r="G285" s="112"/>
      <c r="H285" s="112"/>
      <c r="I285" s="112"/>
      <c r="J285" s="112"/>
      <c r="K285" s="112"/>
      <c r="L285" s="172" t="s">
        <v>164</v>
      </c>
    </row>
    <row r="286" spans="2:12" ht="14.25" hidden="1" x14ac:dyDescent="0.25">
      <c r="B286" s="166" t="s">
        <v>194</v>
      </c>
      <c r="C286" s="112"/>
      <c r="D286" s="148" t="s">
        <v>260</v>
      </c>
      <c r="E286" s="112"/>
      <c r="F286" s="112"/>
      <c r="G286" s="112"/>
      <c r="H286" s="112"/>
      <c r="I286" s="112"/>
      <c r="J286" s="112"/>
      <c r="K286" s="112"/>
      <c r="L286" s="172" t="s">
        <v>164</v>
      </c>
    </row>
    <row r="287" spans="2:12" ht="15" hidden="1" thickBot="1" x14ac:dyDescent="0.3">
      <c r="B287" s="173" t="s">
        <v>195</v>
      </c>
      <c r="C287" s="174"/>
      <c r="D287" s="174" t="s">
        <v>260</v>
      </c>
      <c r="E287" s="174"/>
      <c r="F287" s="174"/>
      <c r="G287" s="174"/>
      <c r="H287" s="174"/>
      <c r="I287" s="174"/>
      <c r="J287" s="174"/>
      <c r="K287" s="174"/>
      <c r="L287" s="129" t="s">
        <v>164</v>
      </c>
    </row>
    <row r="288" spans="2:12" ht="15" hidden="1" thickBot="1" x14ac:dyDescent="0.3">
      <c r="B288" s="175" t="s">
        <v>196</v>
      </c>
      <c r="C288" s="176">
        <f>SUM(C269:C287)</f>
        <v>351249.60527928767</v>
      </c>
      <c r="D288" s="177" t="s">
        <v>265</v>
      </c>
      <c r="E288" s="176">
        <f t="shared" ref="E288:K288" si="30">SUM(E269:E287)</f>
        <v>79100.777585174728</v>
      </c>
      <c r="F288" s="176">
        <f t="shared" si="30"/>
        <v>575.98189480861731</v>
      </c>
      <c r="G288" s="176">
        <f t="shared" si="30"/>
        <v>11881.407819818874</v>
      </c>
      <c r="H288" s="176">
        <f t="shared" si="30"/>
        <v>215.66587081085584</v>
      </c>
      <c r="I288" s="176">
        <f t="shared" si="30"/>
        <v>15059.612251602985</v>
      </c>
      <c r="J288" s="176">
        <f t="shared" si="30"/>
        <v>14663.049436844336</v>
      </c>
      <c r="K288" s="176">
        <f t="shared" si="30"/>
        <v>1466.7545803088112</v>
      </c>
      <c r="L288" s="135" t="s">
        <v>164</v>
      </c>
    </row>
  </sheetData>
  <mergeCells count="20">
    <mergeCell ref="K45:O45"/>
    <mergeCell ref="B211:M211"/>
    <mergeCell ref="B248:M248"/>
    <mergeCell ref="B163:C163"/>
    <mergeCell ref="D163:J163"/>
    <mergeCell ref="C268:D268"/>
    <mergeCell ref="B2:C2"/>
    <mergeCell ref="B172:C172"/>
    <mergeCell ref="D172:E172"/>
    <mergeCell ref="C148:D148"/>
    <mergeCell ref="D2:J2"/>
    <mergeCell ref="B23:J23"/>
    <mergeCell ref="B45:J45"/>
    <mergeCell ref="B61:J61"/>
    <mergeCell ref="B83:J83"/>
    <mergeCell ref="B93:J93"/>
    <mergeCell ref="B106:J106"/>
    <mergeCell ref="B122:J122"/>
    <mergeCell ref="B135:J135"/>
    <mergeCell ref="B142:J14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Variables!$B$3</xm:f>
          </x14:formula1>
          <xm:sqref>B156:B159 B24:B44 B5:B22 B143:B147 B46:B60 B62:B82 B84:B92 B94:B105 B107:B121 B123:B134 B136:B141 B175:B210 B212:B266</xm:sqref>
        </x14:dataValidation>
        <x14:dataValidation type="list" allowBlank="1" showInputMessage="1" showErrorMessage="1">
          <x14:formula1>
            <xm:f>Variables!$C$3</xm:f>
          </x14:formula1>
          <xm:sqref>C156:C159 C5:C22 C24:C44 C143:C147 C46:C60 C62:C82 C84:C92 C94:C105 C107:C121 C123:C134 C136:C141</xm:sqref>
        </x14:dataValidation>
        <x14:dataValidation type="list" allowBlank="1" showInputMessage="1" showErrorMessage="1">
          <x14:formula1>
            <xm:f>Variables!#REF!</xm:f>
          </x14:formula1>
          <xm:sqref>D156:D159</xm:sqref>
        </x14:dataValidation>
        <x14:dataValidation type="list" allowBlank="1" showInputMessage="1" showErrorMessage="1">
          <x14:formula1>
            <xm:f>Factores!$D$3:$F$3</xm:f>
          </x14:formula1>
          <xm:sqref>G5:G22 G136:G141 G24:G44 G143:G147 G46:G60 G62:G82 G84:G92 G123:G134 G94:G105 G107:G121 G175:G210 G212:G247 G249:G266</xm:sqref>
        </x14:dataValidation>
        <x14:dataValidation type="list" allowBlank="1" showInputMessage="1" showErrorMessage="1">
          <x14:formula1>
            <xm:f>Variables!$B$4:$B$11</xm:f>
          </x14:formula1>
          <xm:sqref>D5:D22 D24:D44 D143:D147 D46:D60 D62:D82 D84:D92 D94:D105 D107:D121 D123:D134 D136:D141</xm:sqref>
        </x14:dataValidation>
        <x14:dataValidation type="list" allowBlank="1" showInputMessage="1" showErrorMessage="1">
          <x14:formula1>
            <xm:f>Variables!$C$4:$C$11</xm:f>
          </x14:formula1>
          <xm:sqref>E147</xm:sqref>
        </x14:dataValidation>
        <x14:dataValidation type="list" allowBlank="1" showInputMessage="1" showErrorMessage="1">
          <x14:formula1>
            <xm:f>Variables!$C$3:$C$12</xm:f>
          </x14:formula1>
          <xm:sqref>E5:E22 E24:E44 E46:E60 E62:E82 E84:E92 E94:E105 E107:E121 E123:E134 E136:E141 E143:E146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workbookViewId="0">
      <selection activeCell="D17" sqref="D17"/>
    </sheetView>
  </sheetViews>
  <sheetFormatPr baseColWidth="10" defaultRowHeight="15" x14ac:dyDescent="0.25"/>
  <cols>
    <col min="1" max="1" width="3.140625" style="1" customWidth="1"/>
    <col min="2" max="2" width="21.85546875" style="1" customWidth="1"/>
    <col min="3" max="3" width="17" style="189" customWidth="1"/>
    <col min="4" max="4" width="11.42578125" style="1"/>
    <col min="5" max="5" width="24.5703125" style="1" customWidth="1"/>
    <col min="6" max="16384" width="11.42578125" style="1"/>
  </cols>
  <sheetData>
    <row r="1" spans="2:5" ht="15.75" thickBot="1" x14ac:dyDescent="0.3"/>
    <row r="2" spans="2:5" ht="30" customHeight="1" thickBot="1" x14ac:dyDescent="0.3">
      <c r="B2" s="53" t="s">
        <v>57</v>
      </c>
      <c r="C2" s="190" t="s">
        <v>74</v>
      </c>
      <c r="E2" s="38" t="s">
        <v>198</v>
      </c>
    </row>
    <row r="3" spans="2:5" x14ac:dyDescent="0.25">
      <c r="B3" s="52" t="s">
        <v>73</v>
      </c>
      <c r="C3" s="191">
        <f>[3]Consumos!$D$54</f>
        <v>2.8233333333333328</v>
      </c>
      <c r="E3" s="34" t="s">
        <v>201</v>
      </c>
    </row>
    <row r="4" spans="2:5" x14ac:dyDescent="0.25">
      <c r="B4" s="41" t="s">
        <v>209</v>
      </c>
      <c r="C4" s="192">
        <f>[3]Consumos!$C$55</f>
        <v>1.53</v>
      </c>
      <c r="E4" s="54" t="s">
        <v>199</v>
      </c>
    </row>
    <row r="5" spans="2:5" x14ac:dyDescent="0.25">
      <c r="B5" s="41" t="s">
        <v>210</v>
      </c>
      <c r="C5" s="192">
        <f>[3]Consumos!$C$58</f>
        <v>0.84</v>
      </c>
      <c r="E5" s="54" t="s">
        <v>200</v>
      </c>
    </row>
    <row r="6" spans="2:5" x14ac:dyDescent="0.25">
      <c r="B6" s="41" t="s">
        <v>71</v>
      </c>
      <c r="C6" s="192">
        <f>[3]Consumos!$C$56</f>
        <v>1.42</v>
      </c>
      <c r="E6" s="54" t="s">
        <v>202</v>
      </c>
    </row>
    <row r="7" spans="2:5" ht="15" customHeight="1" x14ac:dyDescent="0.25">
      <c r="B7" s="41" t="s">
        <v>212</v>
      </c>
      <c r="C7" s="192">
        <v>1.8</v>
      </c>
      <c r="E7" s="54" t="s">
        <v>203</v>
      </c>
    </row>
    <row r="8" spans="2:5" x14ac:dyDescent="0.25">
      <c r="B8" s="41" t="s">
        <v>213</v>
      </c>
      <c r="C8" s="192">
        <v>1.9</v>
      </c>
      <c r="E8" s="54" t="s">
        <v>204</v>
      </c>
    </row>
    <row r="9" spans="2:5" x14ac:dyDescent="0.25">
      <c r="B9" s="41" t="s">
        <v>214</v>
      </c>
      <c r="C9" s="192">
        <v>2</v>
      </c>
      <c r="E9" s="54" t="s">
        <v>205</v>
      </c>
    </row>
    <row r="10" spans="2:5" x14ac:dyDescent="0.25">
      <c r="B10" s="41" t="s">
        <v>211</v>
      </c>
      <c r="C10" s="192">
        <f>[3]Consumos!$C$59</f>
        <v>1.1599999999999999</v>
      </c>
      <c r="E10" s="54" t="s">
        <v>206</v>
      </c>
    </row>
    <row r="11" spans="2:5" x14ac:dyDescent="0.25">
      <c r="B11" s="41" t="s">
        <v>72</v>
      </c>
      <c r="C11" s="192">
        <f>[3]Consumos!$C$55</f>
        <v>1.53</v>
      </c>
      <c r="E11" s="54" t="s">
        <v>207</v>
      </c>
    </row>
    <row r="12" spans="2:5" x14ac:dyDescent="0.25">
      <c r="B12" s="41" t="s">
        <v>208</v>
      </c>
      <c r="C12" s="192">
        <f>[3]Consumos!$C$57</f>
        <v>2.06</v>
      </c>
      <c r="E12" s="54"/>
    </row>
    <row r="13" spans="2:5" x14ac:dyDescent="0.25">
      <c r="B13" s="55"/>
      <c r="C13" s="192"/>
      <c r="E13" s="54"/>
    </row>
    <row r="14" spans="2:5" ht="15.75" thickBot="1" x14ac:dyDescent="0.3">
      <c r="B14" s="56"/>
      <c r="C14" s="193"/>
      <c r="E14" s="54"/>
    </row>
    <row r="15" spans="2:5" ht="15.75" thickBot="1" x14ac:dyDescent="0.3">
      <c r="E15" s="33"/>
    </row>
    <row r="16" spans="2:5" ht="15.75" thickBot="1" x14ac:dyDescent="0.3">
      <c r="B16" s="35" t="s">
        <v>89</v>
      </c>
      <c r="C16" s="194">
        <v>3.8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9"/>
  <sheetViews>
    <sheetView tabSelected="1" zoomScale="70" zoomScaleNormal="70" workbookViewId="0">
      <selection activeCell="P18" sqref="P18"/>
    </sheetView>
  </sheetViews>
  <sheetFormatPr baseColWidth="10" defaultRowHeight="15" x14ac:dyDescent="0.25"/>
  <cols>
    <col min="1" max="1" width="2.7109375" style="1" customWidth="1"/>
    <col min="2" max="2" width="8.42578125" style="1" customWidth="1"/>
    <col min="3" max="3" width="12.140625" style="1" bestFit="1" customWidth="1"/>
    <col min="4" max="4" width="5.85546875" style="1" bestFit="1" customWidth="1"/>
    <col min="5" max="5" width="6.140625" style="1" bestFit="1" customWidth="1"/>
    <col min="6" max="6" width="5.7109375" style="1" bestFit="1" customWidth="1"/>
    <col min="7" max="7" width="61.28515625" style="1" customWidth="1"/>
    <col min="8" max="8" width="3" style="1" customWidth="1"/>
    <col min="9" max="9" width="17.140625" style="189" bestFit="1" customWidth="1"/>
    <col min="10" max="10" width="41.28515625" style="1" customWidth="1"/>
    <col min="11" max="11" width="7.42578125" style="1" bestFit="1" customWidth="1"/>
    <col min="12" max="12" width="8.42578125" style="1" bestFit="1" customWidth="1"/>
    <col min="13" max="13" width="8.85546875" style="1" bestFit="1" customWidth="1"/>
    <col min="14" max="14" width="21.140625" style="189" customWidth="1"/>
    <col min="15" max="15" width="8.7109375" style="1" bestFit="1" customWidth="1"/>
    <col min="16" max="16" width="19" style="189" customWidth="1"/>
    <col min="17" max="17" width="9.140625" style="1" bestFit="1" customWidth="1"/>
    <col min="18" max="19" width="2.7109375" style="1" customWidth="1"/>
    <col min="20" max="20" width="25.42578125" style="1" customWidth="1"/>
    <col min="21" max="21" width="9" style="1" bestFit="1" customWidth="1"/>
    <col min="22" max="22" width="9.7109375" style="1" customWidth="1"/>
    <col min="23" max="23" width="9.85546875" style="1" customWidth="1"/>
    <col min="24" max="24" width="9.42578125" style="1" customWidth="1"/>
    <col min="25" max="25" width="8.85546875" style="1" customWidth="1"/>
    <col min="26" max="26" width="8.5703125" style="1" customWidth="1"/>
    <col min="27" max="27" width="8.140625" style="1" customWidth="1"/>
    <col min="28" max="28" width="10.5703125" style="1" customWidth="1"/>
    <col min="29" max="16384" width="11.42578125" style="1"/>
  </cols>
  <sheetData>
    <row r="2" spans="2:29" ht="12.75" customHeight="1" x14ac:dyDescent="0.25">
      <c r="B2" s="17" t="s">
        <v>75</v>
      </c>
      <c r="C2" s="17"/>
      <c r="I2" s="265" t="s">
        <v>80</v>
      </c>
      <c r="J2" s="234" t="s">
        <v>81</v>
      </c>
      <c r="K2" s="235"/>
      <c r="L2" s="233" t="s">
        <v>82</v>
      </c>
      <c r="M2" s="233"/>
      <c r="N2" s="233"/>
      <c r="O2" s="233"/>
      <c r="P2" s="233"/>
      <c r="Q2" s="233"/>
      <c r="T2" s="26" t="s">
        <v>140</v>
      </c>
      <c r="AB2" s="27"/>
    </row>
    <row r="3" spans="2:29" ht="30.75" customHeight="1" x14ac:dyDescent="0.25">
      <c r="B3" s="39" t="s">
        <v>59</v>
      </c>
      <c r="C3" s="39" t="s">
        <v>135</v>
      </c>
      <c r="D3" s="39" t="s">
        <v>131</v>
      </c>
      <c r="E3" s="39" t="s">
        <v>132</v>
      </c>
      <c r="F3" s="39" t="s">
        <v>133</v>
      </c>
      <c r="G3" s="39" t="s">
        <v>29</v>
      </c>
      <c r="I3" s="266"/>
      <c r="J3" s="36" t="s">
        <v>83</v>
      </c>
      <c r="K3" s="36" t="s">
        <v>84</v>
      </c>
      <c r="L3" s="37" t="s">
        <v>83</v>
      </c>
      <c r="M3" s="37" t="s">
        <v>84</v>
      </c>
      <c r="N3" s="274" t="s">
        <v>83</v>
      </c>
      <c r="O3" s="37" t="s">
        <v>84</v>
      </c>
      <c r="P3" s="274" t="s">
        <v>83</v>
      </c>
      <c r="Q3" s="37" t="s">
        <v>84</v>
      </c>
      <c r="T3" s="28" t="s">
        <v>141</v>
      </c>
      <c r="U3" s="29" t="s">
        <v>142</v>
      </c>
      <c r="V3" s="29" t="s">
        <v>143</v>
      </c>
      <c r="W3" s="29" t="s">
        <v>144</v>
      </c>
      <c r="X3" s="29" t="s">
        <v>145</v>
      </c>
      <c r="Y3" s="29" t="s">
        <v>146</v>
      </c>
      <c r="Z3" s="29" t="s">
        <v>147</v>
      </c>
      <c r="AA3" s="29" t="s">
        <v>148</v>
      </c>
      <c r="AB3" s="30" t="s">
        <v>149</v>
      </c>
      <c r="AC3" s="31" t="s">
        <v>150</v>
      </c>
    </row>
    <row r="4" spans="2:29" ht="18" x14ac:dyDescent="0.35">
      <c r="B4" s="18">
        <v>2010</v>
      </c>
      <c r="C4" s="42">
        <v>0.3</v>
      </c>
      <c r="D4" s="43">
        <v>0.4</v>
      </c>
      <c r="E4" s="43">
        <v>0.32</v>
      </c>
      <c r="F4" s="43">
        <v>0.28000000000000003</v>
      </c>
      <c r="G4" s="23" t="s">
        <v>76</v>
      </c>
      <c r="I4" s="267" t="s">
        <v>86</v>
      </c>
      <c r="J4" s="179">
        <f>15600/1000000</f>
        <v>1.5599999999999999E-2</v>
      </c>
      <c r="K4" s="16" t="s">
        <v>110</v>
      </c>
      <c r="L4" s="19">
        <f>112000/1000</f>
        <v>112</v>
      </c>
      <c r="M4" s="16" t="s">
        <v>111</v>
      </c>
      <c r="N4" s="188">
        <f>300/1000</f>
        <v>0.3</v>
      </c>
      <c r="O4" s="16" t="s">
        <v>112</v>
      </c>
      <c r="P4" s="188">
        <f>4/1000</f>
        <v>4.0000000000000001E-3</v>
      </c>
      <c r="Q4" s="16" t="s">
        <v>113</v>
      </c>
      <c r="T4" s="16" t="s">
        <v>157</v>
      </c>
      <c r="U4" s="45">
        <v>4000</v>
      </c>
      <c r="V4" s="45">
        <v>50</v>
      </c>
      <c r="W4" s="45">
        <v>600</v>
      </c>
      <c r="X4" s="45">
        <v>11</v>
      </c>
      <c r="Y4" s="45">
        <v>760</v>
      </c>
      <c r="Z4" s="45">
        <v>740</v>
      </c>
      <c r="AA4" s="45">
        <f>AB4/100*Z4</f>
        <v>74</v>
      </c>
      <c r="AB4" s="46">
        <v>10</v>
      </c>
      <c r="AC4" s="1" t="s">
        <v>158</v>
      </c>
    </row>
    <row r="5" spans="2:29" ht="18" x14ac:dyDescent="0.35">
      <c r="B5" s="18">
        <v>2011</v>
      </c>
      <c r="C5" s="42">
        <v>0.3</v>
      </c>
      <c r="D5" s="43">
        <v>0.41</v>
      </c>
      <c r="E5" s="43">
        <v>0.3</v>
      </c>
      <c r="F5" s="43">
        <v>0.19</v>
      </c>
      <c r="G5" s="23" t="s">
        <v>76</v>
      </c>
      <c r="I5" s="267" t="s">
        <v>88</v>
      </c>
      <c r="J5" s="179">
        <f>0.0473*1000000/1000000</f>
        <v>4.7300000000000002E-2</v>
      </c>
      <c r="K5" s="16" t="s">
        <v>110</v>
      </c>
      <c r="L5" s="19">
        <f>63100/1000</f>
        <v>63.1</v>
      </c>
      <c r="M5" s="16" t="s">
        <v>111</v>
      </c>
      <c r="N5" s="179">
        <f>1/1000</f>
        <v>1E-3</v>
      </c>
      <c r="O5" s="16" t="s">
        <v>112</v>
      </c>
      <c r="P5" s="179">
        <f>0.1/1000</f>
        <v>1E-4</v>
      </c>
      <c r="Q5" s="16" t="s">
        <v>113</v>
      </c>
      <c r="T5" s="16" t="s">
        <v>156</v>
      </c>
      <c r="U5" s="57">
        <f t="shared" ref="U5:AB5" si="0">U6</f>
        <v>26</v>
      </c>
      <c r="V5" s="57">
        <f t="shared" si="0"/>
        <v>51</v>
      </c>
      <c r="W5" s="57">
        <f t="shared" si="0"/>
        <v>1.9</v>
      </c>
      <c r="X5" s="57">
        <f t="shared" si="0"/>
        <v>0.3</v>
      </c>
      <c r="Y5" s="57">
        <f t="shared" si="0"/>
        <v>1.2</v>
      </c>
      <c r="Z5" s="57">
        <f t="shared" si="0"/>
        <v>1.2</v>
      </c>
      <c r="AA5" s="57">
        <f t="shared" si="0"/>
        <v>6.480000000000001E-2</v>
      </c>
      <c r="AB5" s="46">
        <f t="shared" si="0"/>
        <v>5.4</v>
      </c>
      <c r="AC5" t="s">
        <v>153</v>
      </c>
    </row>
    <row r="6" spans="2:29" x14ac:dyDescent="0.25">
      <c r="B6" s="18">
        <v>2012</v>
      </c>
      <c r="C6" s="42">
        <v>0.3</v>
      </c>
      <c r="D6" s="43">
        <v>0.42</v>
      </c>
      <c r="E6" s="43">
        <v>0.3</v>
      </c>
      <c r="F6" s="43">
        <v>0.19</v>
      </c>
      <c r="G6" s="23" t="s">
        <v>76</v>
      </c>
      <c r="I6" s="268" t="s">
        <v>170</v>
      </c>
      <c r="T6" s="16" t="s">
        <v>152</v>
      </c>
      <c r="U6" s="57">
        <v>26</v>
      </c>
      <c r="V6" s="57">
        <v>51</v>
      </c>
      <c r="W6" s="57">
        <v>1.9</v>
      </c>
      <c r="X6" s="57">
        <v>0.3</v>
      </c>
      <c r="Y6" s="57">
        <v>1.2</v>
      </c>
      <c r="Z6" s="57">
        <v>1.2</v>
      </c>
      <c r="AA6" s="57">
        <f>AB6/100*Z6</f>
        <v>6.480000000000001E-2</v>
      </c>
      <c r="AB6" s="46">
        <v>5.4</v>
      </c>
      <c r="AC6" t="s">
        <v>153</v>
      </c>
    </row>
    <row r="7" spans="2:29" x14ac:dyDescent="0.25">
      <c r="B7" s="18">
        <v>2013</v>
      </c>
      <c r="C7" s="42">
        <v>0.3</v>
      </c>
      <c r="D7" s="43">
        <v>0.42</v>
      </c>
      <c r="E7" s="43">
        <v>0.3</v>
      </c>
      <c r="F7" s="43">
        <v>0.19</v>
      </c>
      <c r="G7" s="23" t="s">
        <v>76</v>
      </c>
      <c r="T7" s="16" t="s">
        <v>154</v>
      </c>
      <c r="U7" s="57">
        <v>57</v>
      </c>
      <c r="V7" s="57">
        <v>51</v>
      </c>
      <c r="W7" s="57">
        <v>0.69</v>
      </c>
      <c r="X7" s="57">
        <v>70</v>
      </c>
      <c r="Y7" s="57">
        <v>1.9</v>
      </c>
      <c r="Z7" s="57">
        <v>1.9</v>
      </c>
      <c r="AA7" s="57">
        <f>AB7/100*Z7</f>
        <v>0.1615</v>
      </c>
      <c r="AB7" s="46">
        <v>8.5</v>
      </c>
      <c r="AC7" s="1" t="s">
        <v>155</v>
      </c>
    </row>
    <row r="8" spans="2:29" x14ac:dyDescent="0.25">
      <c r="B8" s="18">
        <v>2014</v>
      </c>
      <c r="C8" s="42">
        <v>0.3</v>
      </c>
      <c r="D8" s="43">
        <v>0.42</v>
      </c>
      <c r="E8" s="43">
        <v>0.3</v>
      </c>
      <c r="F8" s="43">
        <v>0.19</v>
      </c>
      <c r="G8" s="23" t="s">
        <v>76</v>
      </c>
      <c r="I8" s="265" t="s">
        <v>80</v>
      </c>
      <c r="J8" s="234" t="s">
        <v>81</v>
      </c>
      <c r="K8" s="235"/>
      <c r="T8" s="16" t="s">
        <v>159</v>
      </c>
      <c r="U8" s="45">
        <v>4600</v>
      </c>
      <c r="V8" s="45">
        <v>110</v>
      </c>
      <c r="W8" s="45">
        <v>484</v>
      </c>
      <c r="X8" s="45">
        <v>900</v>
      </c>
      <c r="Y8" s="45">
        <v>404</v>
      </c>
      <c r="Z8" s="45">
        <v>398</v>
      </c>
      <c r="AA8" s="45">
        <f>AB8/100*Z8</f>
        <v>25.472000000000001</v>
      </c>
      <c r="AB8" s="46">
        <v>6.4</v>
      </c>
      <c r="AC8" s="32" t="s">
        <v>151</v>
      </c>
    </row>
    <row r="9" spans="2:29" x14ac:dyDescent="0.25">
      <c r="B9" s="18">
        <v>2015</v>
      </c>
      <c r="C9" s="42">
        <v>0.3</v>
      </c>
      <c r="D9" s="43">
        <v>0.42</v>
      </c>
      <c r="E9" s="43">
        <v>0.3</v>
      </c>
      <c r="F9" s="43">
        <v>0.19</v>
      </c>
      <c r="G9" s="23" t="s">
        <v>76</v>
      </c>
      <c r="I9" s="266"/>
      <c r="J9" s="22" t="s">
        <v>85</v>
      </c>
      <c r="K9" s="22" t="s">
        <v>84</v>
      </c>
    </row>
    <row r="10" spans="2:29" x14ac:dyDescent="0.25">
      <c r="B10" s="18">
        <v>2016</v>
      </c>
      <c r="C10" s="42">
        <v>0.3</v>
      </c>
      <c r="D10" s="43">
        <v>0.42</v>
      </c>
      <c r="E10" s="43">
        <v>0.3</v>
      </c>
      <c r="F10" s="43">
        <v>0.19</v>
      </c>
      <c r="G10" s="23" t="s">
        <v>76</v>
      </c>
      <c r="I10" s="267" t="s">
        <v>86</v>
      </c>
      <c r="J10" s="180">
        <f>'[3]Energía y contenido de carbono'!$M$5/1000000000</f>
        <v>1.7412166666666669E-5</v>
      </c>
      <c r="K10" s="16" t="s">
        <v>87</v>
      </c>
      <c r="N10" s="275">
        <f>17275/1000000000</f>
        <v>1.7275E-5</v>
      </c>
    </row>
    <row r="11" spans="2:29" x14ac:dyDescent="0.25">
      <c r="B11" s="18">
        <v>2017</v>
      </c>
      <c r="C11" s="42">
        <v>0.3</v>
      </c>
      <c r="D11" s="43">
        <v>0.42</v>
      </c>
      <c r="E11" s="43">
        <v>0.3</v>
      </c>
      <c r="F11" s="43">
        <v>0.19</v>
      </c>
      <c r="G11" s="23" t="s">
        <v>76</v>
      </c>
      <c r="I11" s="268" t="s">
        <v>170</v>
      </c>
      <c r="N11" s="276" t="s">
        <v>176</v>
      </c>
    </row>
    <row r="12" spans="2:29" ht="15.75" thickBot="1" x14ac:dyDescent="0.3">
      <c r="B12" s="18">
        <v>2018</v>
      </c>
      <c r="C12" s="42">
        <v>0.3</v>
      </c>
      <c r="D12" s="43">
        <v>0.42</v>
      </c>
      <c r="E12" s="43">
        <v>0.3</v>
      </c>
      <c r="F12" s="43">
        <v>0.19</v>
      </c>
      <c r="G12" s="23" t="s">
        <v>76</v>
      </c>
    </row>
    <row r="13" spans="2:29" x14ac:dyDescent="0.25">
      <c r="B13" s="18">
        <v>2019</v>
      </c>
      <c r="C13" s="42">
        <v>0.3</v>
      </c>
      <c r="D13" s="43">
        <v>0.42</v>
      </c>
      <c r="E13" s="43">
        <v>0.3</v>
      </c>
      <c r="F13" s="43">
        <v>0.19</v>
      </c>
      <c r="G13" s="23" t="s">
        <v>76</v>
      </c>
      <c r="I13" s="231" t="s">
        <v>127</v>
      </c>
      <c r="J13" s="232"/>
    </row>
    <row r="14" spans="2:29" ht="15.75" thickBot="1" x14ac:dyDescent="0.3">
      <c r="B14" s="18">
        <v>2020</v>
      </c>
      <c r="C14" s="42">
        <v>0.3</v>
      </c>
      <c r="D14" s="43">
        <v>0.42</v>
      </c>
      <c r="E14" s="43">
        <v>0.3</v>
      </c>
      <c r="F14" s="43">
        <v>0.19</v>
      </c>
      <c r="G14" s="23" t="s">
        <v>76</v>
      </c>
      <c r="I14" s="269">
        <f>'[2]Calculos propios'!$T$6</f>
        <v>7.3806724874458691</v>
      </c>
      <c r="J14" s="44" t="s">
        <v>169</v>
      </c>
    </row>
    <row r="15" spans="2:29" x14ac:dyDescent="0.25">
      <c r="B15" s="18">
        <v>2021</v>
      </c>
      <c r="C15" s="42">
        <v>0.3</v>
      </c>
      <c r="D15" s="43">
        <v>0.42</v>
      </c>
      <c r="E15" s="43">
        <v>0.3</v>
      </c>
      <c r="F15" s="43">
        <v>0.19</v>
      </c>
      <c r="G15" s="23" t="s">
        <v>76</v>
      </c>
      <c r="I15" s="268" t="s">
        <v>172</v>
      </c>
    </row>
    <row r="16" spans="2:29" x14ac:dyDescent="0.25">
      <c r="B16" s="18">
        <v>2022</v>
      </c>
      <c r="C16" s="42">
        <v>0.3</v>
      </c>
      <c r="D16" s="43">
        <v>0.42</v>
      </c>
      <c r="E16" s="43">
        <v>0.3</v>
      </c>
      <c r="F16" s="43">
        <v>0.19</v>
      </c>
      <c r="G16" s="23" t="s">
        <v>76</v>
      </c>
    </row>
    <row r="17" spans="2:12" x14ac:dyDescent="0.25">
      <c r="B17" s="18">
        <v>2023</v>
      </c>
      <c r="C17" s="42">
        <v>0.3</v>
      </c>
      <c r="D17" s="43">
        <v>0.42</v>
      </c>
      <c r="E17" s="43">
        <v>0.3</v>
      </c>
      <c r="F17" s="43">
        <v>0.19</v>
      </c>
      <c r="G17" s="23" t="s">
        <v>76</v>
      </c>
      <c r="I17" s="270" t="s">
        <v>118</v>
      </c>
    </row>
    <row r="18" spans="2:12" x14ac:dyDescent="0.25">
      <c r="B18" s="18">
        <v>2024</v>
      </c>
      <c r="C18" s="42">
        <v>0.3</v>
      </c>
      <c r="D18" s="43">
        <v>0.42</v>
      </c>
      <c r="E18" s="43">
        <v>0.3</v>
      </c>
      <c r="F18" s="43">
        <v>0.19</v>
      </c>
      <c r="G18" s="23" t="s">
        <v>76</v>
      </c>
      <c r="I18" s="271" t="s">
        <v>119</v>
      </c>
      <c r="J18" s="21" t="s">
        <v>120</v>
      </c>
      <c r="K18" s="21" t="s">
        <v>121</v>
      </c>
      <c r="L18" s="21" t="s">
        <v>122</v>
      </c>
    </row>
    <row r="19" spans="2:12" ht="15.75" x14ac:dyDescent="0.25">
      <c r="B19" s="18">
        <v>2025</v>
      </c>
      <c r="C19" s="42">
        <v>0.3</v>
      </c>
      <c r="D19" s="43">
        <v>0.42</v>
      </c>
      <c r="E19" s="43">
        <v>0.3</v>
      </c>
      <c r="F19" s="43">
        <v>0.19</v>
      </c>
      <c r="G19" s="23" t="s">
        <v>76</v>
      </c>
      <c r="I19" s="272" t="s">
        <v>123</v>
      </c>
      <c r="J19" s="50">
        <v>1</v>
      </c>
      <c r="K19" s="50">
        <v>1</v>
      </c>
      <c r="L19" s="51">
        <v>1</v>
      </c>
    </row>
    <row r="20" spans="2:12" ht="15.75" x14ac:dyDescent="0.25">
      <c r="B20" s="18">
        <v>2026</v>
      </c>
      <c r="C20" s="42">
        <v>0.3</v>
      </c>
      <c r="D20" s="43">
        <v>0.42</v>
      </c>
      <c r="E20" s="43">
        <v>0.3</v>
      </c>
      <c r="F20" s="43">
        <v>0.19</v>
      </c>
      <c r="G20" s="23" t="s">
        <v>76</v>
      </c>
      <c r="I20" s="272" t="s">
        <v>124</v>
      </c>
      <c r="J20" s="50">
        <v>21</v>
      </c>
      <c r="K20" s="50">
        <v>25</v>
      </c>
      <c r="L20" s="51">
        <v>30</v>
      </c>
    </row>
    <row r="21" spans="2:12" ht="15.75" x14ac:dyDescent="0.25">
      <c r="B21" s="18">
        <v>2027</v>
      </c>
      <c r="C21" s="42">
        <v>0.3</v>
      </c>
      <c r="D21" s="43">
        <v>0.42</v>
      </c>
      <c r="E21" s="43">
        <v>0.3</v>
      </c>
      <c r="F21" s="43">
        <v>0.19</v>
      </c>
      <c r="G21" s="23" t="s">
        <v>76</v>
      </c>
      <c r="I21" s="272" t="s">
        <v>125</v>
      </c>
      <c r="J21" s="50">
        <v>310</v>
      </c>
      <c r="K21" s="50">
        <v>298</v>
      </c>
      <c r="L21" s="51">
        <v>265</v>
      </c>
    </row>
    <row r="22" spans="2:12" x14ac:dyDescent="0.25">
      <c r="B22" s="18">
        <v>2028</v>
      </c>
      <c r="C22" s="42">
        <v>0.3</v>
      </c>
      <c r="D22" s="43">
        <v>0.42</v>
      </c>
      <c r="E22" s="43">
        <v>0.3</v>
      </c>
      <c r="F22" s="43">
        <v>0.19</v>
      </c>
      <c r="G22" s="23" t="s">
        <v>76</v>
      </c>
      <c r="I22" s="189" t="s">
        <v>126</v>
      </c>
    </row>
    <row r="23" spans="2:12" x14ac:dyDescent="0.25">
      <c r="B23" s="18">
        <v>2029</v>
      </c>
      <c r="C23" s="42">
        <v>0.3</v>
      </c>
      <c r="D23" s="43">
        <v>0.42</v>
      </c>
      <c r="E23" s="43">
        <v>0.3</v>
      </c>
      <c r="F23" s="43">
        <v>0.19</v>
      </c>
      <c r="G23" s="23" t="s">
        <v>76</v>
      </c>
      <c r="I23" s="273" t="s">
        <v>171</v>
      </c>
    </row>
    <row r="24" spans="2:12" x14ac:dyDescent="0.25">
      <c r="B24" s="18">
        <v>2030</v>
      </c>
      <c r="C24" s="42">
        <v>0.3</v>
      </c>
      <c r="D24" s="43">
        <v>0.42</v>
      </c>
      <c r="E24" s="43">
        <v>0.3</v>
      </c>
      <c r="F24" s="43">
        <v>0.19</v>
      </c>
      <c r="G24" s="23" t="s">
        <v>76</v>
      </c>
    </row>
    <row r="27" spans="2:12" x14ac:dyDescent="0.25">
      <c r="C27" s="39" t="s">
        <v>131</v>
      </c>
    </row>
    <row r="28" spans="2:12" x14ac:dyDescent="0.25">
      <c r="C28" s="39" t="s">
        <v>132</v>
      </c>
    </row>
    <row r="29" spans="2:12" x14ac:dyDescent="0.25">
      <c r="C29" s="39" t="s">
        <v>133</v>
      </c>
    </row>
  </sheetData>
  <mergeCells count="6">
    <mergeCell ref="I13:J13"/>
    <mergeCell ref="L2:Q2"/>
    <mergeCell ref="I2:I3"/>
    <mergeCell ref="J2:K2"/>
    <mergeCell ref="J8:K8"/>
    <mergeCell ref="I8:I9"/>
  </mergeCells>
  <hyperlinks>
    <hyperlink ref="I23" r:id="rId1" display="https://www.ghgprotocol.org/sites/default/files/ghgp/Global-Warming-Potential-Values %28Feb 16 2016%29_1.pdf"/>
    <hyperlink ref="N11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1"/>
  <sheetViews>
    <sheetView topLeftCell="A25" workbookViewId="0">
      <selection activeCell="D32" sqref="D32"/>
    </sheetView>
  </sheetViews>
  <sheetFormatPr baseColWidth="10" defaultRowHeight="12.75" x14ac:dyDescent="0.2"/>
  <cols>
    <col min="1" max="4" width="11.42578125" style="59"/>
    <col min="5" max="5" width="19.28515625" style="248" customWidth="1"/>
    <col min="6" max="6" width="11.42578125" style="59"/>
    <col min="7" max="7" width="11.42578125" style="241"/>
    <col min="8" max="8" width="16.5703125" style="60" customWidth="1"/>
    <col min="9" max="9" width="11.7109375" style="256" customWidth="1"/>
    <col min="10" max="10" width="11.42578125" style="59"/>
    <col min="11" max="11" width="18.140625" style="61" customWidth="1"/>
    <col min="12" max="16384" width="11.42578125" style="59"/>
  </cols>
  <sheetData>
    <row r="1" spans="2:13" x14ac:dyDescent="0.2">
      <c r="B1" s="58" t="s">
        <v>251</v>
      </c>
      <c r="C1" s="58"/>
    </row>
    <row r="3" spans="2:13" ht="12.75" customHeight="1" x14ac:dyDescent="0.2">
      <c r="B3" s="62" t="s">
        <v>243</v>
      </c>
      <c r="C3" s="65"/>
      <c r="D3" s="63"/>
      <c r="E3" s="249"/>
      <c r="F3" s="64"/>
      <c r="G3" s="242"/>
      <c r="H3" s="178"/>
      <c r="I3" s="257" t="s">
        <v>244</v>
      </c>
      <c r="J3" s="186" t="s">
        <v>245</v>
      </c>
      <c r="K3" s="236" t="s">
        <v>246</v>
      </c>
    </row>
    <row r="4" spans="2:13" ht="25.5" x14ac:dyDescent="0.2">
      <c r="B4" s="66" t="s">
        <v>59</v>
      </c>
      <c r="C4" s="69" t="s">
        <v>252</v>
      </c>
      <c r="D4" s="67" t="s">
        <v>267</v>
      </c>
      <c r="E4" s="250" t="s">
        <v>270</v>
      </c>
      <c r="F4" s="68" t="s">
        <v>134</v>
      </c>
      <c r="G4" s="243" t="s">
        <v>58</v>
      </c>
      <c r="H4" s="183" t="s">
        <v>269</v>
      </c>
      <c r="I4" s="258"/>
      <c r="J4" s="187"/>
      <c r="K4" s="237"/>
    </row>
    <row r="5" spans="2:13" ht="102" x14ac:dyDescent="0.2">
      <c r="B5" s="70" t="s">
        <v>247</v>
      </c>
      <c r="C5" s="72" t="s">
        <v>268</v>
      </c>
      <c r="D5" s="70" t="s">
        <v>266</v>
      </c>
      <c r="E5" s="251" t="s">
        <v>91</v>
      </c>
      <c r="F5" s="71" t="s">
        <v>225</v>
      </c>
      <c r="G5" s="244" t="s">
        <v>64</v>
      </c>
      <c r="H5" s="181"/>
      <c r="I5" s="259" t="s">
        <v>248</v>
      </c>
      <c r="J5" s="74" t="s">
        <v>249</v>
      </c>
      <c r="K5" s="75" t="s">
        <v>250</v>
      </c>
    </row>
    <row r="6" spans="2:13" x14ac:dyDescent="0.2">
      <c r="B6" s="76">
        <v>2010</v>
      </c>
      <c r="C6" s="88">
        <v>40318</v>
      </c>
      <c r="D6" s="78" t="s">
        <v>73</v>
      </c>
      <c r="E6" s="252" t="s">
        <v>71</v>
      </c>
      <c r="F6" s="79" t="s">
        <v>131</v>
      </c>
      <c r="G6" s="245">
        <v>1131</v>
      </c>
      <c r="H6" s="182">
        <f>DATE(B6,12,31)-C6</f>
        <v>225</v>
      </c>
      <c r="I6" s="260">
        <v>6259</v>
      </c>
      <c r="J6" s="81">
        <v>3148</v>
      </c>
      <c r="K6" s="82">
        <f>+I6-J6</f>
        <v>3111</v>
      </c>
    </row>
    <row r="7" spans="2:13" x14ac:dyDescent="0.2">
      <c r="B7" s="76">
        <v>2010</v>
      </c>
      <c r="C7" s="88">
        <v>40224</v>
      </c>
      <c r="D7" s="78" t="s">
        <v>73</v>
      </c>
      <c r="E7" s="252" t="s">
        <v>71</v>
      </c>
      <c r="F7" s="79" t="s">
        <v>132</v>
      </c>
      <c r="G7" s="245">
        <v>1131</v>
      </c>
      <c r="H7" s="182">
        <f>DATE(B7,12,31)-C7</f>
        <v>319</v>
      </c>
      <c r="I7" s="261">
        <v>7498</v>
      </c>
      <c r="J7" s="81">
        <v>3771</v>
      </c>
      <c r="K7" s="82">
        <f t="shared" ref="K7:K9" si="0">+I7-J7</f>
        <v>3727</v>
      </c>
    </row>
    <row r="8" spans="2:13" x14ac:dyDescent="0.2">
      <c r="B8" s="76">
        <v>2010</v>
      </c>
      <c r="C8" s="88">
        <v>40346</v>
      </c>
      <c r="D8" s="78" t="s">
        <v>73</v>
      </c>
      <c r="E8" s="252" t="s">
        <v>71</v>
      </c>
      <c r="F8" s="79" t="s">
        <v>133</v>
      </c>
      <c r="G8" s="245">
        <v>1131</v>
      </c>
      <c r="H8" s="182">
        <f>DATE(B8,12,31)-C8</f>
        <v>197</v>
      </c>
      <c r="I8" s="261">
        <v>4145</v>
      </c>
      <c r="J8" s="81">
        <v>2085</v>
      </c>
      <c r="K8" s="82">
        <f t="shared" si="0"/>
        <v>2060</v>
      </c>
    </row>
    <row r="9" spans="2:13" x14ac:dyDescent="0.2">
      <c r="B9" s="76">
        <v>2010</v>
      </c>
      <c r="C9" s="88">
        <v>40318</v>
      </c>
      <c r="D9" s="78" t="s">
        <v>73</v>
      </c>
      <c r="E9" s="252" t="s">
        <v>210</v>
      </c>
      <c r="F9" s="79" t="s">
        <v>131</v>
      </c>
      <c r="G9" s="245">
        <v>652</v>
      </c>
      <c r="H9" s="182">
        <f>DATE(B9,12,31)-C9</f>
        <v>225</v>
      </c>
      <c r="I9" s="261">
        <v>3610</v>
      </c>
      <c r="J9" s="81">
        <v>1074</v>
      </c>
      <c r="K9" s="82">
        <f t="shared" si="0"/>
        <v>2536</v>
      </c>
    </row>
    <row r="10" spans="2:13" x14ac:dyDescent="0.2">
      <c r="B10" s="83"/>
      <c r="C10" s="83"/>
      <c r="D10" s="83"/>
      <c r="E10" s="253"/>
      <c r="F10" s="84"/>
      <c r="G10" s="246"/>
      <c r="H10" s="85"/>
      <c r="I10" s="262"/>
      <c r="J10" s="86"/>
      <c r="K10" s="87">
        <f>SUM(K6:K9)</f>
        <v>11434</v>
      </c>
    </row>
    <row r="13" spans="2:13" x14ac:dyDescent="0.2">
      <c r="B13" s="58" t="s">
        <v>271</v>
      </c>
      <c r="C13" s="58"/>
    </row>
    <row r="15" spans="2:13" ht="12.75" customHeight="1" x14ac:dyDescent="0.25">
      <c r="B15" s="62" t="s">
        <v>243</v>
      </c>
      <c r="C15" s="63"/>
      <c r="D15" s="249"/>
      <c r="E15" s="63"/>
      <c r="F15" s="242"/>
      <c r="G15" s="64"/>
      <c r="H15" s="263"/>
      <c r="I15" s="178"/>
      <c r="J15" s="184" t="s">
        <v>244</v>
      </c>
      <c r="K15" s="186" t="s">
        <v>245</v>
      </c>
      <c r="L15" s="239" t="s">
        <v>246</v>
      </c>
      <c r="M15" s="239" t="s">
        <v>246</v>
      </c>
    </row>
    <row r="16" spans="2:13" ht="38.25" x14ac:dyDescent="0.2">
      <c r="B16" s="66" t="s">
        <v>59</v>
      </c>
      <c r="C16" s="67" t="s">
        <v>267</v>
      </c>
      <c r="D16" s="254" t="s">
        <v>273</v>
      </c>
      <c r="E16" s="66" t="s">
        <v>270</v>
      </c>
      <c r="F16" s="243" t="s">
        <v>272</v>
      </c>
      <c r="G16" s="68" t="s">
        <v>134</v>
      </c>
      <c r="H16" s="66" t="s">
        <v>58</v>
      </c>
      <c r="I16" s="183" t="s">
        <v>269</v>
      </c>
      <c r="J16" s="185"/>
      <c r="K16" s="187"/>
      <c r="L16" s="240"/>
      <c r="M16" s="240"/>
    </row>
    <row r="17" spans="2:13" ht="102" x14ac:dyDescent="0.2">
      <c r="B17" s="70" t="s">
        <v>247</v>
      </c>
      <c r="C17" s="70" t="s">
        <v>266</v>
      </c>
      <c r="D17" s="251"/>
      <c r="E17" s="70" t="s">
        <v>91</v>
      </c>
      <c r="F17" s="244"/>
      <c r="G17" s="71" t="s">
        <v>225</v>
      </c>
      <c r="H17" s="70" t="s">
        <v>274</v>
      </c>
      <c r="I17" s="181"/>
      <c r="J17" s="73" t="s">
        <v>248</v>
      </c>
      <c r="K17" s="74" t="s">
        <v>249</v>
      </c>
      <c r="L17" s="75" t="s">
        <v>250</v>
      </c>
      <c r="M17" s="75" t="s">
        <v>250</v>
      </c>
    </row>
    <row r="18" spans="2:13" x14ac:dyDescent="0.2">
      <c r="B18" s="76">
        <v>2012</v>
      </c>
      <c r="C18" s="78" t="s">
        <v>73</v>
      </c>
      <c r="D18" s="255">
        <f>F18*Factores!$I$14</f>
        <v>157.99559571459125</v>
      </c>
      <c r="E18" s="77" t="s">
        <v>88</v>
      </c>
      <c r="F18" s="247">
        <f>H18/100</f>
        <v>21.406666666666666</v>
      </c>
      <c r="G18" s="79" t="s">
        <v>131</v>
      </c>
      <c r="H18" s="264">
        <v>2140.6666666666665</v>
      </c>
      <c r="I18" s="182" t="s">
        <v>232</v>
      </c>
      <c r="J18" s="89">
        <v>6259</v>
      </c>
      <c r="K18" s="81">
        <v>3148</v>
      </c>
      <c r="L18" s="82">
        <f>+J18-K18</f>
        <v>3111</v>
      </c>
      <c r="M18" s="82">
        <f>+K18-L18</f>
        <v>37</v>
      </c>
    </row>
    <row r="19" spans="2:13" x14ac:dyDescent="0.2">
      <c r="B19" s="76">
        <v>2012</v>
      </c>
      <c r="C19" s="78" t="s">
        <v>73</v>
      </c>
      <c r="D19" s="255">
        <f>F19*Factores!$I$14</f>
        <v>186.28817358313373</v>
      </c>
      <c r="E19" s="77" t="s">
        <v>88</v>
      </c>
      <c r="F19" s="247">
        <f t="shared" ref="F19:F23" si="1">H19/100</f>
        <v>25.24</v>
      </c>
      <c r="G19" s="79" t="s">
        <v>131</v>
      </c>
      <c r="H19" s="264">
        <v>2524</v>
      </c>
      <c r="I19" s="182" t="s">
        <v>233</v>
      </c>
      <c r="J19" s="80">
        <v>7498</v>
      </c>
      <c r="K19" s="81">
        <v>3771</v>
      </c>
      <c r="L19" s="82">
        <f t="shared" ref="L19:L21" si="2">+J19-K19</f>
        <v>3727</v>
      </c>
      <c r="M19" s="82">
        <f t="shared" ref="M19:M21" si="3">+K19-L19</f>
        <v>44</v>
      </c>
    </row>
    <row r="20" spans="2:13" x14ac:dyDescent="0.2">
      <c r="B20" s="76">
        <v>2012</v>
      </c>
      <c r="C20" s="78" t="s">
        <v>73</v>
      </c>
      <c r="D20" s="255">
        <f>F20*Factores!$I$14</f>
        <v>129.23557525517717</v>
      </c>
      <c r="E20" s="77" t="s">
        <v>88</v>
      </c>
      <c r="F20" s="247">
        <f t="shared" si="1"/>
        <v>17.510000000000002</v>
      </c>
      <c r="G20" s="79" t="s">
        <v>131</v>
      </c>
      <c r="H20" s="264">
        <v>1751</v>
      </c>
      <c r="I20" s="182" t="s">
        <v>234</v>
      </c>
      <c r="J20" s="80">
        <v>4145</v>
      </c>
      <c r="K20" s="81">
        <v>2085</v>
      </c>
      <c r="L20" s="82">
        <f t="shared" si="2"/>
        <v>2060</v>
      </c>
      <c r="M20" s="82">
        <f t="shared" si="3"/>
        <v>25</v>
      </c>
    </row>
    <row r="21" spans="2:13" x14ac:dyDescent="0.2">
      <c r="B21" s="76">
        <v>2012</v>
      </c>
      <c r="C21" s="78" t="s">
        <v>73</v>
      </c>
      <c r="D21" s="255">
        <f>F21*Factores!$I$14</f>
        <v>114.671048213284</v>
      </c>
      <c r="E21" s="77" t="s">
        <v>88</v>
      </c>
      <c r="F21" s="247">
        <f t="shared" si="1"/>
        <v>15.536666666666667</v>
      </c>
      <c r="G21" s="79" t="s">
        <v>131</v>
      </c>
      <c r="H21" s="264">
        <v>1553.6666666666667</v>
      </c>
      <c r="I21" s="182" t="s">
        <v>235</v>
      </c>
      <c r="J21" s="80">
        <v>3610</v>
      </c>
      <c r="K21" s="81">
        <v>1074</v>
      </c>
      <c r="L21" s="82">
        <f t="shared" si="2"/>
        <v>2536</v>
      </c>
      <c r="M21" s="82">
        <f t="shared" si="3"/>
        <v>-1462</v>
      </c>
    </row>
    <row r="22" spans="2:13" x14ac:dyDescent="0.2">
      <c r="B22" s="76">
        <v>2012</v>
      </c>
      <c r="C22" s="78" t="s">
        <v>73</v>
      </c>
      <c r="D22" s="255">
        <f>F22*Factores!$I$14</f>
        <v>212.16973177244392</v>
      </c>
      <c r="E22" s="77" t="s">
        <v>88</v>
      </c>
      <c r="F22" s="247">
        <f t="shared" si="1"/>
        <v>28.746666666666666</v>
      </c>
      <c r="G22" s="79" t="s">
        <v>131</v>
      </c>
      <c r="H22" s="264">
        <v>2874.6666666666665</v>
      </c>
      <c r="I22" s="182" t="s">
        <v>236</v>
      </c>
      <c r="J22" s="80">
        <v>3610</v>
      </c>
      <c r="K22" s="81">
        <v>1074</v>
      </c>
      <c r="L22" s="82">
        <f t="shared" ref="L22:L23" si="4">+J22-K22</f>
        <v>2536</v>
      </c>
      <c r="M22" s="82">
        <f t="shared" ref="M22:M23" si="5">+K22-L22</f>
        <v>-1462</v>
      </c>
    </row>
    <row r="23" spans="2:13" x14ac:dyDescent="0.2">
      <c r="B23" s="76">
        <v>2012</v>
      </c>
      <c r="C23" s="78" t="s">
        <v>73</v>
      </c>
      <c r="D23" s="255">
        <f>F23*Factores!$I$14</f>
        <v>970.68144330725579</v>
      </c>
      <c r="E23" s="77" t="s">
        <v>88</v>
      </c>
      <c r="F23" s="247">
        <f t="shared" si="1"/>
        <v>131.51666666666665</v>
      </c>
      <c r="G23" s="79" t="s">
        <v>131</v>
      </c>
      <c r="H23" s="264">
        <v>13151.666666666666</v>
      </c>
      <c r="I23" s="182" t="s">
        <v>237</v>
      </c>
      <c r="J23" s="80">
        <v>3610</v>
      </c>
      <c r="K23" s="81">
        <v>1074</v>
      </c>
      <c r="L23" s="82">
        <f t="shared" si="4"/>
        <v>2536</v>
      </c>
      <c r="M23" s="82">
        <f t="shared" si="5"/>
        <v>-1462</v>
      </c>
    </row>
    <row r="24" spans="2:13" x14ac:dyDescent="0.2">
      <c r="D24" s="248"/>
      <c r="E24" s="59"/>
      <c r="F24" s="241"/>
      <c r="G24" s="60"/>
      <c r="H24" s="256"/>
      <c r="I24" s="59"/>
      <c r="J24" s="61"/>
      <c r="K24" s="59"/>
    </row>
    <row r="28" spans="2:13" x14ac:dyDescent="0.2">
      <c r="B28" s="58" t="s">
        <v>271</v>
      </c>
      <c r="C28" s="58"/>
    </row>
    <row r="29" spans="2:13" x14ac:dyDescent="0.2">
      <c r="C29" s="248"/>
      <c r="E29" s="241"/>
      <c r="F29" s="60"/>
      <c r="G29" s="256"/>
      <c r="H29" s="59"/>
    </row>
    <row r="30" spans="2:13" ht="52.5" x14ac:dyDescent="0.25">
      <c r="B30" s="62" t="s">
        <v>243</v>
      </c>
      <c r="C30" s="64"/>
      <c r="D30" s="263"/>
      <c r="E30" s="184" t="s">
        <v>244</v>
      </c>
      <c r="F30" s="186" t="s">
        <v>245</v>
      </c>
      <c r="G30" s="239" t="s">
        <v>246</v>
      </c>
      <c r="H30" s="239" t="s">
        <v>246</v>
      </c>
    </row>
    <row r="31" spans="2:13" x14ac:dyDescent="0.2">
      <c r="B31" s="66" t="s">
        <v>59</v>
      </c>
      <c r="C31" s="68" t="s">
        <v>134</v>
      </c>
      <c r="D31" s="66" t="s">
        <v>58</v>
      </c>
      <c r="E31" s="185"/>
      <c r="F31" s="187"/>
      <c r="G31" s="240"/>
      <c r="H31" s="240"/>
    </row>
    <row r="32" spans="2:13" ht="102" x14ac:dyDescent="0.2">
      <c r="B32" s="70" t="s">
        <v>247</v>
      </c>
      <c r="C32" s="71" t="s">
        <v>225</v>
      </c>
      <c r="D32" s="70" t="s">
        <v>274</v>
      </c>
      <c r="E32" s="73" t="s">
        <v>248</v>
      </c>
      <c r="F32" s="74" t="s">
        <v>249</v>
      </c>
      <c r="G32" s="75" t="s">
        <v>250</v>
      </c>
      <c r="H32" s="75" t="s">
        <v>250</v>
      </c>
    </row>
    <row r="33" spans="2:8" x14ac:dyDescent="0.2">
      <c r="B33" s="76">
        <v>2012</v>
      </c>
      <c r="C33" s="79" t="s">
        <v>131</v>
      </c>
      <c r="D33" s="264">
        <v>2140.6666666666665</v>
      </c>
      <c r="E33" s="89">
        <v>6259</v>
      </c>
      <c r="F33" s="81">
        <v>3148</v>
      </c>
      <c r="G33" s="82">
        <f>+E33-F33</f>
        <v>3111</v>
      </c>
      <c r="H33" s="82">
        <f>+F33-G33</f>
        <v>37</v>
      </c>
    </row>
    <row r="34" spans="2:8" x14ac:dyDescent="0.2">
      <c r="B34" s="76">
        <v>2012</v>
      </c>
      <c r="C34" s="79" t="s">
        <v>131</v>
      </c>
      <c r="D34" s="264">
        <v>2524</v>
      </c>
      <c r="E34" s="80">
        <v>7498</v>
      </c>
      <c r="F34" s="81">
        <v>3771</v>
      </c>
      <c r="G34" s="82">
        <f t="shared" ref="G34:G38" si="6">+E34-F34</f>
        <v>3727</v>
      </c>
      <c r="H34" s="82">
        <f t="shared" ref="H34:H38" si="7">+F34-G34</f>
        <v>44</v>
      </c>
    </row>
    <row r="35" spans="2:8" x14ac:dyDescent="0.2">
      <c r="B35" s="76">
        <v>2012</v>
      </c>
      <c r="C35" s="79" t="s">
        <v>131</v>
      </c>
      <c r="D35" s="264">
        <v>1751</v>
      </c>
      <c r="E35" s="80">
        <v>4145</v>
      </c>
      <c r="F35" s="81">
        <v>2085</v>
      </c>
      <c r="G35" s="82">
        <f t="shared" si="6"/>
        <v>2060</v>
      </c>
      <c r="H35" s="82">
        <f t="shared" si="7"/>
        <v>25</v>
      </c>
    </row>
    <row r="36" spans="2:8" x14ac:dyDescent="0.2">
      <c r="B36" s="76">
        <v>2012</v>
      </c>
      <c r="C36" s="79" t="s">
        <v>131</v>
      </c>
      <c r="D36" s="264">
        <v>1553.6666666666667</v>
      </c>
      <c r="E36" s="80">
        <v>3610</v>
      </c>
      <c r="F36" s="81">
        <v>1074</v>
      </c>
      <c r="G36" s="82">
        <f t="shared" si="6"/>
        <v>2536</v>
      </c>
      <c r="H36" s="82">
        <f t="shared" si="7"/>
        <v>-1462</v>
      </c>
    </row>
    <row r="37" spans="2:8" x14ac:dyDescent="0.2">
      <c r="B37" s="76">
        <v>2012</v>
      </c>
      <c r="C37" s="79" t="s">
        <v>131</v>
      </c>
      <c r="D37" s="264">
        <v>2874.6666666666665</v>
      </c>
      <c r="E37" s="80">
        <v>3610</v>
      </c>
      <c r="F37" s="81">
        <v>1074</v>
      </c>
      <c r="G37" s="82">
        <f t="shared" si="6"/>
        <v>2536</v>
      </c>
      <c r="H37" s="82">
        <f t="shared" si="7"/>
        <v>-1462</v>
      </c>
    </row>
    <row r="38" spans="2:8" x14ac:dyDescent="0.2">
      <c r="B38" s="76">
        <v>2012</v>
      </c>
      <c r="C38" s="79" t="s">
        <v>131</v>
      </c>
      <c r="D38" s="264">
        <v>13151.666666666666</v>
      </c>
      <c r="E38" s="80">
        <v>3610</v>
      </c>
      <c r="F38" s="81">
        <v>1074</v>
      </c>
      <c r="G38" s="82">
        <f t="shared" si="6"/>
        <v>2536</v>
      </c>
      <c r="H38" s="82">
        <f t="shared" si="7"/>
        <v>-1462</v>
      </c>
    </row>
    <row r="181" spans="16:16" x14ac:dyDescent="0.2">
      <c r="P181" s="59" t="e">
        <f>Propuesto!B13:M23+Propuesto!B26</f>
        <v>#VALUE!</v>
      </c>
    </row>
  </sheetData>
  <mergeCells count="1">
    <mergeCell ref="K3:K4"/>
  </mergeCell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Variables!$B$3</xm:f>
          </x14:formula1>
          <xm:sqref>D6:D9 C18:C23</xm:sqref>
        </x14:dataValidation>
        <x14:dataValidation type="list" allowBlank="1" showInputMessage="1" showErrorMessage="1">
          <x14:formula1>
            <xm:f>Variables!$B$4:$B$12</xm:f>
          </x14:formula1>
          <xm:sqref>E6:E9</xm:sqref>
        </x14:dataValidation>
        <x14:dataValidation type="list" allowBlank="1" showInputMessage="1" showErrorMessage="1">
          <x14:formula1>
            <xm:f>Factores!$C$27:$C$29</xm:f>
          </x14:formula1>
          <xm:sqref>F6:F9 G18:G23 C33:C38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</vt:lpstr>
      <vt:lpstr>Proveedores</vt:lpstr>
      <vt:lpstr>Formato</vt:lpstr>
      <vt:lpstr>Variables</vt:lpstr>
      <vt:lpstr>Factores</vt:lpstr>
      <vt:lpstr>Propuesto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ARC</cp:lastModifiedBy>
  <dcterms:created xsi:type="dcterms:W3CDTF">2019-09-02T17:20:30Z</dcterms:created>
  <dcterms:modified xsi:type="dcterms:W3CDTF">2020-02-28T19:18:32Z</dcterms:modified>
</cp:coreProperties>
</file>